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مالی\فرم های مورد نیاز شهرستان ها\"/>
    </mc:Choice>
  </mc:AlternateContent>
  <bookViews>
    <workbookView xWindow="480" yWindow="45" windowWidth="20640" windowHeight="10035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Sheet2!$A$2:$Q$30</definedName>
  </definedNames>
  <calcPr calcId="152511"/>
</workbook>
</file>

<file path=xl/calcChain.xml><?xml version="1.0" encoding="utf-8"?>
<calcChain xmlns="http://schemas.openxmlformats.org/spreadsheetml/2006/main">
  <c r="K6" i="3" l="1"/>
  <c r="M21" i="3" l="1"/>
  <c r="L21" i="3"/>
  <c r="H21" i="3"/>
  <c r="G21" i="3"/>
  <c r="M20" i="3"/>
  <c r="L20" i="3"/>
  <c r="H20" i="3"/>
  <c r="F19" i="3"/>
  <c r="E19" i="3"/>
  <c r="G18" i="3"/>
  <c r="I18" i="3" s="1"/>
  <c r="K19" i="3" s="1"/>
  <c r="F18" i="3"/>
  <c r="F17" i="3"/>
  <c r="E17" i="3"/>
  <c r="G16" i="3"/>
  <c r="I16" i="3" s="1"/>
  <c r="F16" i="3"/>
  <c r="F15" i="3"/>
  <c r="E15" i="3"/>
  <c r="G14" i="3"/>
  <c r="F14" i="3"/>
  <c r="I14" i="3" s="1"/>
  <c r="K15" i="3" s="1"/>
  <c r="F13" i="3"/>
  <c r="E13" i="3"/>
  <c r="G12" i="3"/>
  <c r="F12" i="3"/>
  <c r="F11" i="3"/>
  <c r="E11" i="3"/>
  <c r="G10" i="3"/>
  <c r="I10" i="3" s="1"/>
  <c r="K11" i="3" s="1"/>
  <c r="F10" i="3"/>
  <c r="F9" i="3"/>
  <c r="E9" i="3"/>
  <c r="G8" i="3"/>
  <c r="I8" i="3" s="1"/>
  <c r="F8" i="3"/>
  <c r="F7" i="3"/>
  <c r="E7" i="3"/>
  <c r="E21" i="3" s="1"/>
  <c r="G6" i="3"/>
  <c r="G20" i="3" s="1"/>
  <c r="F6" i="3"/>
  <c r="F20" i="3" l="1"/>
  <c r="I12" i="3"/>
  <c r="F21" i="3"/>
  <c r="I6" i="3"/>
  <c r="I20" i="3" s="1"/>
  <c r="J8" i="3"/>
  <c r="K8" i="3" s="1"/>
  <c r="N8" i="3" s="1"/>
  <c r="O8" i="3" s="1"/>
  <c r="K9" i="3"/>
  <c r="J12" i="3"/>
  <c r="K12" i="3" s="1"/>
  <c r="K13" i="3"/>
  <c r="J16" i="3"/>
  <c r="K16" i="3" s="1"/>
  <c r="K17" i="3"/>
  <c r="J6" i="3"/>
  <c r="J10" i="3"/>
  <c r="K10" i="3" s="1"/>
  <c r="N10" i="3" s="1"/>
  <c r="O10" i="3" s="1"/>
  <c r="J14" i="3"/>
  <c r="K14" i="3" s="1"/>
  <c r="N14" i="3" s="1"/>
  <c r="O14" i="3" s="1"/>
  <c r="J18" i="3"/>
  <c r="K18" i="3" s="1"/>
  <c r="N18" i="3" s="1"/>
  <c r="O18" i="3" s="1"/>
  <c r="O18" i="2"/>
  <c r="O17" i="2"/>
  <c r="N18" i="2"/>
  <c r="N17" i="2"/>
  <c r="F15" i="2"/>
  <c r="K15" i="2" s="1"/>
  <c r="G13" i="2"/>
  <c r="F13" i="2"/>
  <c r="F14" i="2" s="1"/>
  <c r="G12" i="2"/>
  <c r="H11" i="2"/>
  <c r="F11" i="2"/>
  <c r="F12" i="2" s="1"/>
  <c r="H9" i="2"/>
  <c r="G10" i="2"/>
  <c r="G9" i="2"/>
  <c r="F9" i="2"/>
  <c r="F10" i="2" s="1"/>
  <c r="I8" i="2"/>
  <c r="I18" i="2" s="1"/>
  <c r="F7" i="2"/>
  <c r="G7" i="2" s="1"/>
  <c r="J8" i="2"/>
  <c r="J18" i="2" s="1"/>
  <c r="J7" i="2"/>
  <c r="J17" i="2" s="1"/>
  <c r="H7" i="2"/>
  <c r="H17" i="2" s="1"/>
  <c r="H8" i="2"/>
  <c r="H18" i="2" s="1"/>
  <c r="G8" i="2"/>
  <c r="G18" i="2" s="1"/>
  <c r="I7" i="2"/>
  <c r="I17" i="2" s="1"/>
  <c r="L9" i="2" l="1"/>
  <c r="F17" i="2"/>
  <c r="L7" i="2"/>
  <c r="N12" i="3"/>
  <c r="O12" i="3" s="1"/>
  <c r="K7" i="3"/>
  <c r="J20" i="3"/>
  <c r="N16" i="3"/>
  <c r="O16" i="3" s="1"/>
  <c r="K21" i="3"/>
  <c r="K9" i="2"/>
  <c r="M10" i="2" s="1"/>
  <c r="L11" i="2"/>
  <c r="G11" i="2"/>
  <c r="K11" i="2" s="1"/>
  <c r="M11" i="2" s="1"/>
  <c r="M15" i="2"/>
  <c r="K13" i="2"/>
  <c r="M9" i="2"/>
  <c r="F8" i="2"/>
  <c r="G18" i="1"/>
  <c r="G16" i="1"/>
  <c r="I16" i="1" s="1"/>
  <c r="G14" i="1"/>
  <c r="G12" i="1"/>
  <c r="I12" i="1" s="1"/>
  <c r="G10" i="1"/>
  <c r="G8" i="1"/>
  <c r="F19" i="1"/>
  <c r="F17" i="1"/>
  <c r="F15" i="1"/>
  <c r="F13" i="1"/>
  <c r="F11" i="1"/>
  <c r="F9" i="1"/>
  <c r="F18" i="1"/>
  <c r="I18" i="1" s="1"/>
  <c r="F16" i="1"/>
  <c r="F14" i="1"/>
  <c r="I14" i="1" s="1"/>
  <c r="F12" i="1"/>
  <c r="F10" i="1"/>
  <c r="I10" i="1" s="1"/>
  <c r="F8" i="1"/>
  <c r="E19" i="1"/>
  <c r="E17" i="1"/>
  <c r="E15" i="1"/>
  <c r="E13" i="1"/>
  <c r="E11" i="1"/>
  <c r="E9" i="1"/>
  <c r="M21" i="1"/>
  <c r="L21" i="1"/>
  <c r="M20" i="1"/>
  <c r="L20" i="1"/>
  <c r="H21" i="1"/>
  <c r="H20" i="1"/>
  <c r="G21" i="1"/>
  <c r="G6" i="1"/>
  <c r="F7" i="1"/>
  <c r="F6" i="1"/>
  <c r="E7" i="1"/>
  <c r="K11" i="1" l="1"/>
  <c r="J10" i="1"/>
  <c r="K10" i="1" s="1"/>
  <c r="N10" i="1" s="1"/>
  <c r="O10" i="1" s="1"/>
  <c r="K13" i="1"/>
  <c r="J12" i="1"/>
  <c r="K12" i="1" s="1"/>
  <c r="N12" i="1" s="1"/>
  <c r="O12" i="1" s="1"/>
  <c r="K17" i="1"/>
  <c r="J16" i="1"/>
  <c r="K16" i="1" s="1"/>
  <c r="N16" i="1" s="1"/>
  <c r="O16" i="1" s="1"/>
  <c r="K15" i="1"/>
  <c r="O14" i="1"/>
  <c r="J14" i="1"/>
  <c r="K14" i="1" s="1"/>
  <c r="N14" i="1" s="1"/>
  <c r="K19" i="1"/>
  <c r="J18" i="1"/>
  <c r="K18" i="1" s="1"/>
  <c r="N18" i="1" s="1"/>
  <c r="O18" i="1" s="1"/>
  <c r="G17" i="2"/>
  <c r="G20" i="1"/>
  <c r="N6" i="3"/>
  <c r="K20" i="3"/>
  <c r="K23" i="3"/>
  <c r="K22" i="3"/>
  <c r="K7" i="2"/>
  <c r="F18" i="2"/>
  <c r="M16" i="2"/>
  <c r="P15" i="2" s="1"/>
  <c r="Q15" i="2" s="1"/>
  <c r="M14" i="2"/>
  <c r="P13" i="2" s="1"/>
  <c r="Q13" i="2" s="1"/>
  <c r="M12" i="2"/>
  <c r="P11" i="2" s="1"/>
  <c r="Q11" i="2" s="1"/>
  <c r="P9" i="2"/>
  <c r="Q9" i="2" s="1"/>
  <c r="I8" i="1"/>
  <c r="J8" i="1" s="1"/>
  <c r="K8" i="1" s="1"/>
  <c r="F21" i="1"/>
  <c r="F20" i="1"/>
  <c r="E21" i="1"/>
  <c r="I6" i="1"/>
  <c r="K7" i="1" s="1"/>
  <c r="J6" i="1"/>
  <c r="N20" i="3" l="1"/>
  <c r="O6" i="3"/>
  <c r="O20" i="3" s="1"/>
  <c r="K24" i="3"/>
  <c r="M8" i="2"/>
  <c r="M18" i="2" s="1"/>
  <c r="K17" i="2"/>
  <c r="M7" i="2"/>
  <c r="M17" i="2" s="1"/>
  <c r="L17" i="2"/>
  <c r="K9" i="1"/>
  <c r="K21" i="1" s="1"/>
  <c r="I20" i="1"/>
  <c r="K6" i="1"/>
  <c r="J20" i="1"/>
  <c r="P7" i="2" l="1"/>
  <c r="M20" i="2"/>
  <c r="M19" i="2"/>
  <c r="N8" i="1"/>
  <c r="O8" i="1" s="1"/>
  <c r="K23" i="1"/>
  <c r="K22" i="1"/>
  <c r="N6" i="1"/>
  <c r="K20" i="1"/>
  <c r="M21" i="2" l="1"/>
  <c r="P17" i="2"/>
  <c r="Q7" i="2"/>
  <c r="Q17" i="2" s="1"/>
  <c r="O6" i="1"/>
  <c r="O20" i="1" s="1"/>
  <c r="N20" i="1"/>
  <c r="K24" i="1"/>
</calcChain>
</file>

<file path=xl/sharedStrings.xml><?xml version="1.0" encoding="utf-8"?>
<sst xmlns="http://schemas.openxmlformats.org/spreadsheetml/2006/main" count="102" uniqueCount="53">
  <si>
    <t>ردیف</t>
  </si>
  <si>
    <t>شماره پرسنلی</t>
  </si>
  <si>
    <t>کارکرد</t>
  </si>
  <si>
    <t xml:space="preserve"> اضافه کاری</t>
  </si>
  <si>
    <t>نام</t>
  </si>
  <si>
    <t>حقوق</t>
  </si>
  <si>
    <t>دستمزد روزانه</t>
  </si>
  <si>
    <t>اضافه کاری</t>
  </si>
  <si>
    <t>خواروبار مسکن</t>
  </si>
  <si>
    <t>بن کارگری</t>
  </si>
  <si>
    <t>حق اولاد</t>
  </si>
  <si>
    <t>تعطیل کاری</t>
  </si>
  <si>
    <t>سایر اضافات</t>
  </si>
  <si>
    <t>جمع مشمول و غیر مشمول</t>
  </si>
  <si>
    <t>مشمول بیمه</t>
  </si>
  <si>
    <t>بیمه سهم کارگر</t>
  </si>
  <si>
    <t>مالیات</t>
  </si>
  <si>
    <t>مساعده</t>
  </si>
  <si>
    <t>وام</t>
  </si>
  <si>
    <t>سایر کسورات</t>
  </si>
  <si>
    <t>جمع کسورات</t>
  </si>
  <si>
    <t>خالص پرداختی</t>
  </si>
  <si>
    <t>علی عسگر</t>
  </si>
  <si>
    <t>رومی فرد</t>
  </si>
  <si>
    <t>20% بیمه سهم کارفرما</t>
  </si>
  <si>
    <t>3% بیمه بیکاری</t>
  </si>
  <si>
    <t>جمع 30% بیمه</t>
  </si>
  <si>
    <t>جمع</t>
  </si>
  <si>
    <t>لیست حقوق و دستمزد خرداد ماه شرکت ....................</t>
  </si>
  <si>
    <t>نام خانوادگی</t>
  </si>
  <si>
    <t>ماموریت</t>
  </si>
  <si>
    <t>اضافه کار</t>
  </si>
  <si>
    <t>حق جذب</t>
  </si>
  <si>
    <t>حق سنوات</t>
  </si>
  <si>
    <t>حق مسئولیت</t>
  </si>
  <si>
    <t>سایز مزایا</t>
  </si>
  <si>
    <t>مهتای مرادی</t>
  </si>
  <si>
    <t>علی صادق زاده</t>
  </si>
  <si>
    <t>مهوش مرادی</t>
  </si>
  <si>
    <t>سیدرضا میرحسینی</t>
  </si>
  <si>
    <t>نیما نیکبخت</t>
  </si>
  <si>
    <t>لیست حقوق و دستمزد خرداد ماه 1396</t>
  </si>
  <si>
    <t>سازمان نظام صنفی کشاورزی استان اصفهان</t>
  </si>
  <si>
    <t>تنظیم کننده:حسابداری</t>
  </si>
  <si>
    <t>تایید کننده:معاون اداری مالی</t>
  </si>
  <si>
    <t>تصویب کننده:دبیر اجرایی</t>
  </si>
  <si>
    <t>خزانه دار:قربانی</t>
  </si>
  <si>
    <t>لیست حقوق و دستمزد ........ ماه صنف شهرستان  ....................</t>
  </si>
  <si>
    <t>احمد</t>
  </si>
  <si>
    <t>عسگری</t>
  </si>
  <si>
    <t>تنظیم کننده:</t>
  </si>
  <si>
    <t>دبیر اجرایی:</t>
  </si>
  <si>
    <t>خزانه دار/رییس هیات مدیره: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</si>
</sst>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0" fillId="0" borderId="12" xfId="0" applyBorder="1"/>
    <xf numFmtId="3" fontId="1" fillId="0" borderId="16" xfId="0" applyNumberFormat="1" applyFont="1" applyBorder="1" applyAlignment="1">
      <alignment horizontal="center" vertical="center" readingOrder="2"/>
    </xf>
    <xf numFmtId="0" fontId="2" fillId="0" borderId="11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 readingOrder="2"/>
    </xf>
    <xf numFmtId="0" fontId="0" fillId="0" borderId="11" xfId="0" applyBorder="1"/>
    <xf numFmtId="0" fontId="0" fillId="0" borderId="20" xfId="0" applyBorder="1"/>
    <xf numFmtId="0" fontId="2" fillId="0" borderId="8" xfId="0" applyFont="1" applyBorder="1" applyAlignment="1">
      <alignment horizontal="center" vertical="center" readingOrder="2"/>
    </xf>
    <xf numFmtId="3" fontId="2" fillId="0" borderId="8" xfId="0" applyNumberFormat="1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3" fontId="2" fillId="0" borderId="20" xfId="0" applyNumberFormat="1" applyFont="1" applyBorder="1" applyAlignment="1">
      <alignment horizontal="center" vertical="center" readingOrder="2"/>
    </xf>
    <xf numFmtId="0" fontId="0" fillId="0" borderId="16" xfId="0" applyBorder="1"/>
    <xf numFmtId="0" fontId="2" fillId="0" borderId="8" xfId="0" applyFont="1" applyBorder="1" applyAlignment="1">
      <alignment horizontal="center" vertical="center" readingOrder="2"/>
    </xf>
    <xf numFmtId="0" fontId="2" fillId="0" borderId="24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readingOrder="2"/>
    </xf>
    <xf numFmtId="3" fontId="4" fillId="0" borderId="6" xfId="0" applyNumberFormat="1" applyFont="1" applyBorder="1" applyAlignment="1">
      <alignment horizontal="center" vertical="center" readingOrder="2"/>
    </xf>
    <xf numFmtId="3" fontId="4" fillId="0" borderId="9" xfId="0" applyNumberFormat="1" applyFont="1" applyBorder="1" applyAlignment="1">
      <alignment horizontal="center" vertical="center" readingOrder="2"/>
    </xf>
    <xf numFmtId="0" fontId="1" fillId="0" borderId="12" xfId="0" applyFont="1" applyBorder="1" applyAlignment="1">
      <alignment vertical="center" readingOrder="2"/>
    </xf>
    <xf numFmtId="0" fontId="1" fillId="0" borderId="11" xfId="0" applyFont="1" applyBorder="1" applyAlignment="1">
      <alignment vertical="center" readingOrder="2"/>
    </xf>
    <xf numFmtId="0" fontId="1" fillId="0" borderId="12" xfId="0" applyFont="1" applyBorder="1" applyAlignment="1">
      <alignment horizontal="center" vertical="center" readingOrder="2"/>
    </xf>
    <xf numFmtId="0" fontId="1" fillId="0" borderId="11" xfId="0" applyFont="1" applyBorder="1" applyAlignment="1">
      <alignment horizontal="center" vertical="center" readingOrder="2"/>
    </xf>
    <xf numFmtId="0" fontId="3" fillId="0" borderId="0" xfId="0" applyFont="1" applyAlignment="1">
      <alignment horizontal="center"/>
    </xf>
    <xf numFmtId="0" fontId="2" fillId="0" borderId="0" xfId="0" applyFont="1"/>
    <xf numFmtId="3" fontId="1" fillId="0" borderId="12" xfId="0" applyNumberFormat="1" applyFont="1" applyBorder="1" applyAlignment="1">
      <alignment horizontal="center" vertical="center" readingOrder="2"/>
    </xf>
    <xf numFmtId="3" fontId="1" fillId="0" borderId="34" xfId="0" applyNumberFormat="1" applyFont="1" applyBorder="1" applyAlignment="1">
      <alignment horizontal="center" vertical="center" readingOrder="2"/>
    </xf>
    <xf numFmtId="3" fontId="1" fillId="0" borderId="38" xfId="0" applyNumberFormat="1" applyFont="1" applyBorder="1" applyAlignment="1">
      <alignment horizontal="center" vertical="center" readingOrder="2"/>
    </xf>
    <xf numFmtId="3" fontId="1" fillId="0" borderId="11" xfId="0" applyNumberFormat="1" applyFont="1" applyBorder="1" applyAlignment="1">
      <alignment horizontal="center" vertical="center" readingOrder="2"/>
    </xf>
    <xf numFmtId="0" fontId="1" fillId="0" borderId="34" xfId="0" applyFont="1" applyBorder="1" applyAlignment="1">
      <alignment horizontal="center" readingOrder="2"/>
    </xf>
    <xf numFmtId="0" fontId="1" fillId="0" borderId="34" xfId="0" applyFont="1" applyBorder="1" applyAlignment="1">
      <alignment vertical="center" readingOrder="2"/>
    </xf>
    <xf numFmtId="0" fontId="1" fillId="0" borderId="34" xfId="0" applyFont="1" applyBorder="1" applyAlignment="1">
      <alignment readingOrder="2"/>
    </xf>
    <xf numFmtId="0" fontId="1" fillId="0" borderId="38" xfId="0" applyFont="1" applyBorder="1" applyAlignment="1">
      <alignment horizontal="center" readingOrder="2"/>
    </xf>
    <xf numFmtId="0" fontId="1" fillId="0" borderId="38" xfId="0" applyFont="1" applyBorder="1" applyAlignment="1">
      <alignment vertical="center" readingOrder="2"/>
    </xf>
    <xf numFmtId="0" fontId="1" fillId="0" borderId="38" xfId="0" applyFont="1" applyBorder="1" applyAlignment="1">
      <alignment readingOrder="2"/>
    </xf>
    <xf numFmtId="0" fontId="2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readingOrder="2"/>
    </xf>
    <xf numFmtId="3" fontId="2" fillId="0" borderId="12" xfId="0" applyNumberFormat="1" applyFont="1" applyBorder="1" applyAlignment="1">
      <alignment horizontal="center" vertical="center" readingOrder="2"/>
    </xf>
    <xf numFmtId="0" fontId="1" fillId="0" borderId="34" xfId="0" applyFont="1" applyBorder="1" applyAlignment="1">
      <alignment horizontal="center" vertical="center" readingOrder="2"/>
    </xf>
    <xf numFmtId="3" fontId="1" fillId="0" borderId="34" xfId="0" applyNumberFormat="1" applyFont="1" applyBorder="1" applyAlignment="1">
      <alignment vertical="center" readingOrder="2"/>
    </xf>
    <xf numFmtId="0" fontId="1" fillId="0" borderId="38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readingOrder="2"/>
    </xf>
    <xf numFmtId="3" fontId="1" fillId="0" borderId="29" xfId="0" applyNumberFormat="1" applyFont="1" applyBorder="1" applyAlignment="1">
      <alignment horizontal="center" vertical="center" readingOrder="2"/>
    </xf>
    <xf numFmtId="3" fontId="1" fillId="0" borderId="19" xfId="0" applyNumberFormat="1" applyFont="1" applyBorder="1" applyAlignment="1">
      <alignment horizontal="center" vertical="center" readingOrder="2"/>
    </xf>
    <xf numFmtId="3" fontId="1" fillId="0" borderId="15" xfId="0" applyNumberFormat="1" applyFont="1" applyBorder="1" applyAlignment="1">
      <alignment horizontal="center" vertical="center" readingOrder="2"/>
    </xf>
    <xf numFmtId="3" fontId="1" fillId="0" borderId="21" xfId="0" applyNumberFormat="1" applyFont="1" applyBorder="1" applyAlignment="1">
      <alignment horizontal="center" vertical="center" readingOrder="2"/>
    </xf>
    <xf numFmtId="3" fontId="1" fillId="0" borderId="17" xfId="0" applyNumberFormat="1" applyFont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readingOrder="2"/>
    </xf>
    <xf numFmtId="0" fontId="4" fillId="0" borderId="2" xfId="0" applyFont="1" applyBorder="1" applyAlignment="1">
      <alignment horizontal="center" vertical="center" readingOrder="2"/>
    </xf>
    <xf numFmtId="0" fontId="4" fillId="0" borderId="4" xfId="0" applyFont="1" applyBorder="1" applyAlignment="1">
      <alignment horizontal="center" vertical="center" readingOrder="2"/>
    </xf>
    <xf numFmtId="0" fontId="4" fillId="0" borderId="5" xfId="0" applyFont="1" applyBorder="1" applyAlignment="1">
      <alignment horizontal="center" vertical="center" readingOrder="2"/>
    </xf>
    <xf numFmtId="0" fontId="4" fillId="0" borderId="7" xfId="0" applyFont="1" applyBorder="1" applyAlignment="1">
      <alignment horizontal="center" vertical="center" readingOrder="2"/>
    </xf>
    <xf numFmtId="0" fontId="4" fillId="0" borderId="8" xfId="0" applyFont="1" applyBorder="1" applyAlignment="1">
      <alignment horizontal="center" vertical="center" readingOrder="2"/>
    </xf>
    <xf numFmtId="0" fontId="0" fillId="0" borderId="18" xfId="0" applyBorder="1" applyAlignment="1">
      <alignment horizontal="center" vertical="center" readingOrder="2"/>
    </xf>
    <xf numFmtId="0" fontId="0" fillId="0" borderId="14" xfId="0" applyBorder="1" applyAlignment="1">
      <alignment horizontal="center" vertical="center" readingOrder="2"/>
    </xf>
    <xf numFmtId="0" fontId="0" fillId="0" borderId="25" xfId="0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 readingOrder="2"/>
    </xf>
    <xf numFmtId="0" fontId="2" fillId="0" borderId="8" xfId="0" applyFont="1" applyBorder="1" applyAlignment="1">
      <alignment horizontal="center" vertical="center" readingOrder="2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 readingOrder="2"/>
    </xf>
    <xf numFmtId="3" fontId="1" fillId="0" borderId="14" xfId="0" applyNumberFormat="1" applyFont="1" applyBorder="1" applyAlignment="1">
      <alignment horizontal="center" vertical="center" readingOrder="2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1" fillId="0" borderId="31" xfId="0" applyNumberFormat="1" applyFont="1" applyBorder="1" applyAlignment="1">
      <alignment horizontal="center" vertical="center" readingOrder="2"/>
    </xf>
    <xf numFmtId="3" fontId="1" fillId="0" borderId="43" xfId="0" applyNumberFormat="1" applyFont="1" applyBorder="1" applyAlignment="1">
      <alignment horizontal="center" vertical="center" readingOrder="2"/>
    </xf>
    <xf numFmtId="3" fontId="1" fillId="0" borderId="36" xfId="0" applyNumberFormat="1" applyFont="1" applyBorder="1" applyAlignment="1">
      <alignment horizontal="center" vertical="center" readingOrder="2"/>
    </xf>
    <xf numFmtId="3" fontId="1" fillId="0" borderId="29" xfId="0" applyNumberFormat="1" applyFont="1" applyBorder="1" applyAlignment="1">
      <alignment horizontal="center" vertical="center" readingOrder="2"/>
    </xf>
    <xf numFmtId="3" fontId="1" fillId="0" borderId="37" xfId="0" applyNumberFormat="1" applyFont="1" applyBorder="1" applyAlignment="1">
      <alignment horizontal="center" vertical="center" readingOrder="2"/>
    </xf>
    <xf numFmtId="3" fontId="1" fillId="0" borderId="44" xfId="0" applyNumberFormat="1" applyFont="1" applyBorder="1" applyAlignment="1">
      <alignment horizontal="center" vertical="center" readingOrder="2"/>
    </xf>
    <xf numFmtId="3" fontId="1" fillId="0" borderId="39" xfId="0" applyNumberFormat="1" applyFont="1" applyBorder="1" applyAlignment="1">
      <alignment horizontal="center" vertical="center" readingOrder="2"/>
    </xf>
    <xf numFmtId="0" fontId="1" fillId="0" borderId="30" xfId="0" applyFont="1" applyBorder="1" applyAlignment="1">
      <alignment horizontal="center" vertical="center" readingOrder="2"/>
    </xf>
    <xf numFmtId="3" fontId="1" fillId="0" borderId="30" xfId="0" applyNumberFormat="1" applyFont="1" applyBorder="1" applyAlignment="1">
      <alignment horizontal="center" vertical="center" readingOrder="2"/>
    </xf>
    <xf numFmtId="0" fontId="0" fillId="0" borderId="32" xfId="0" applyBorder="1" applyAlignment="1">
      <alignment horizontal="center" vertical="center" readingOrder="2"/>
    </xf>
    <xf numFmtId="0" fontId="0" fillId="0" borderId="36" xfId="0" applyBorder="1" applyAlignment="1">
      <alignment horizontal="center" vertical="center" readingOrder="2"/>
    </xf>
    <xf numFmtId="0" fontId="1" fillId="0" borderId="33" xfId="0" applyFont="1" applyBorder="1" applyAlignment="1">
      <alignment horizontal="center" readingOrder="2"/>
    </xf>
    <xf numFmtId="0" fontId="1" fillId="0" borderId="37" xfId="0" applyFont="1" applyBorder="1" applyAlignment="1">
      <alignment horizontal="center" readingOrder="2"/>
    </xf>
    <xf numFmtId="3" fontId="1" fillId="0" borderId="33" xfId="0" applyNumberFormat="1" applyFont="1" applyBorder="1" applyAlignment="1">
      <alignment horizontal="center" vertical="center" readingOrder="2"/>
    </xf>
    <xf numFmtId="3" fontId="1" fillId="0" borderId="35" xfId="0" applyNumberFormat="1" applyFont="1" applyBorder="1" applyAlignment="1">
      <alignment horizontal="center" vertical="center" readingOrder="2"/>
    </xf>
    <xf numFmtId="0" fontId="1" fillId="0" borderId="33" xfId="0" applyFont="1" applyBorder="1" applyAlignment="1">
      <alignment horizontal="center" vertical="center" readingOrder="2"/>
    </xf>
    <xf numFmtId="0" fontId="1" fillId="0" borderId="37" xfId="0" applyFont="1" applyBorder="1" applyAlignment="1">
      <alignment horizontal="center" vertical="center" readingOrder="2"/>
    </xf>
    <xf numFmtId="3" fontId="2" fillId="0" borderId="12" xfId="0" applyNumberFormat="1" applyFont="1" applyBorder="1" applyAlignment="1">
      <alignment horizontal="center" vertical="center" readingOrder="2"/>
    </xf>
    <xf numFmtId="3" fontId="2" fillId="0" borderId="42" xfId="0" applyNumberFormat="1" applyFont="1" applyBorder="1" applyAlignment="1">
      <alignment horizontal="center" vertical="center" readingOrder="2"/>
    </xf>
    <xf numFmtId="0" fontId="2" fillId="0" borderId="9" xfId="0" applyFont="1" applyBorder="1" applyAlignment="1">
      <alignment horizontal="center" vertical="center" readingOrder="2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readingOrder="2"/>
    </xf>
    <xf numFmtId="3" fontId="9" fillId="0" borderId="19" xfId="0" applyNumberFormat="1" applyFont="1" applyBorder="1" applyAlignment="1">
      <alignment horizontal="center" vertical="center" readingOrder="2"/>
    </xf>
    <xf numFmtId="3" fontId="9" fillId="0" borderId="20" xfId="0" applyNumberFormat="1" applyFont="1" applyBorder="1" applyAlignment="1">
      <alignment horizontal="center" vertical="center" readingOrder="2"/>
    </xf>
    <xf numFmtId="3" fontId="9" fillId="0" borderId="21" xfId="0" applyNumberFormat="1" applyFont="1" applyBorder="1" applyAlignment="1">
      <alignment horizontal="center" vertical="center" readingOrder="2"/>
    </xf>
    <xf numFmtId="3" fontId="9" fillId="0" borderId="14" xfId="0" applyNumberFormat="1" applyFont="1" applyBorder="1" applyAlignment="1">
      <alignment horizontal="center" vertical="center" readingOrder="2"/>
    </xf>
    <xf numFmtId="3" fontId="9" fillId="0" borderId="15" xfId="0" applyNumberFormat="1" applyFont="1" applyBorder="1" applyAlignment="1">
      <alignment horizontal="center" vertical="center" readingOrder="2"/>
    </xf>
    <xf numFmtId="3" fontId="9" fillId="0" borderId="16" xfId="0" applyNumberFormat="1" applyFont="1" applyBorder="1" applyAlignment="1">
      <alignment horizontal="center" vertical="center" readingOrder="2"/>
    </xf>
    <xf numFmtId="3" fontId="9" fillId="0" borderId="17" xfId="0" applyNumberFormat="1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19" xfId="0" applyFont="1" applyBorder="1" applyAlignment="1">
      <alignment horizontal="center"/>
    </xf>
    <xf numFmtId="0" fontId="9" fillId="0" borderId="20" xfId="0" applyFont="1" applyBorder="1"/>
    <xf numFmtId="0" fontId="9" fillId="0" borderId="14" xfId="0" applyFont="1" applyBorder="1" applyAlignment="1">
      <alignment horizontal="center" vertical="center" readingOrder="2"/>
    </xf>
    <xf numFmtId="0" fontId="9" fillId="0" borderId="15" xfId="0" applyFont="1" applyBorder="1" applyAlignment="1">
      <alignment horizontal="center"/>
    </xf>
    <xf numFmtId="0" fontId="9" fillId="0" borderId="16" xfId="0" applyFont="1" applyBorder="1"/>
    <xf numFmtId="0" fontId="9" fillId="0" borderId="25" xfId="0" applyFont="1" applyBorder="1" applyAlignment="1">
      <alignment horizontal="center" vertical="center" readingOrder="2"/>
    </xf>
    <xf numFmtId="0" fontId="9" fillId="0" borderId="12" xfId="0" applyFont="1" applyBorder="1"/>
    <xf numFmtId="0" fontId="9" fillId="0" borderId="11" xfId="0" applyFont="1" applyBorder="1"/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readingOrder="2"/>
    </xf>
    <xf numFmtId="3" fontId="8" fillId="0" borderId="20" xfId="0" applyNumberFormat="1" applyFont="1" applyBorder="1" applyAlignment="1">
      <alignment horizontal="center" vertical="center" readingOrder="2"/>
    </xf>
    <xf numFmtId="3" fontId="8" fillId="0" borderId="20" xfId="0" applyNumberFormat="1" applyFont="1" applyBorder="1" applyAlignment="1">
      <alignment horizontal="center" vertical="center" readingOrder="2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readingOrder="2"/>
    </xf>
    <xf numFmtId="3" fontId="8" fillId="0" borderId="8" xfId="0" applyNumberFormat="1" applyFont="1" applyBorder="1" applyAlignment="1">
      <alignment horizontal="center" vertical="center" readingOrder="2"/>
    </xf>
    <xf numFmtId="0" fontId="8" fillId="0" borderId="8" xfId="0" applyFont="1" applyBorder="1" applyAlignment="1">
      <alignment horizontal="center" vertical="center" readingOrder="2"/>
    </xf>
    <xf numFmtId="0" fontId="9" fillId="0" borderId="0" xfId="0" applyFont="1"/>
    <xf numFmtId="0" fontId="8" fillId="0" borderId="1" xfId="0" applyFont="1" applyBorder="1" applyAlignment="1">
      <alignment horizontal="center" vertical="center" readingOrder="2"/>
    </xf>
    <xf numFmtId="0" fontId="8" fillId="0" borderId="2" xfId="0" applyFont="1" applyBorder="1" applyAlignment="1">
      <alignment horizontal="center" vertical="center" readingOrder="2"/>
    </xf>
    <xf numFmtId="3" fontId="8" fillId="0" borderId="3" xfId="0" applyNumberFormat="1" applyFont="1" applyBorder="1" applyAlignment="1">
      <alignment horizontal="center" vertical="center" readingOrder="2"/>
    </xf>
    <xf numFmtId="0" fontId="8" fillId="0" borderId="4" xfId="0" applyFont="1" applyBorder="1" applyAlignment="1">
      <alignment horizontal="center" vertical="center" readingOrder="2"/>
    </xf>
    <xf numFmtId="0" fontId="8" fillId="0" borderId="5" xfId="0" applyFont="1" applyBorder="1" applyAlignment="1">
      <alignment horizontal="center" vertical="center" readingOrder="2"/>
    </xf>
    <xf numFmtId="3" fontId="8" fillId="0" borderId="6" xfId="0" applyNumberFormat="1" applyFont="1" applyBorder="1" applyAlignment="1">
      <alignment horizontal="center" vertical="center" readingOrder="2"/>
    </xf>
    <xf numFmtId="0" fontId="8" fillId="0" borderId="7" xfId="0" applyFont="1" applyBorder="1" applyAlignment="1">
      <alignment horizontal="center" vertical="center" readingOrder="2"/>
    </xf>
    <xf numFmtId="3" fontId="8" fillId="0" borderId="9" xfId="0" applyNumberFormat="1" applyFont="1" applyBorder="1" applyAlignment="1">
      <alignment horizontal="center" vertical="center" readingOrder="2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5"/>
  <sheetViews>
    <sheetView rightToLeft="1" topLeftCell="A5" workbookViewId="0">
      <selection activeCell="A2" sqref="A2:O24"/>
    </sheetView>
  </sheetViews>
  <sheetFormatPr defaultRowHeight="14.25" x14ac:dyDescent="0.2"/>
  <cols>
    <col min="1" max="1" width="5.375" bestFit="1" customWidth="1"/>
    <col min="2" max="2" width="7.75" bestFit="1" customWidth="1"/>
    <col min="3" max="3" width="16.75" customWidth="1"/>
    <col min="4" max="4" width="10.875" bestFit="1" customWidth="1"/>
    <col min="5" max="5" width="13.75" bestFit="1" customWidth="1"/>
    <col min="6" max="6" width="14" bestFit="1" customWidth="1"/>
    <col min="7" max="7" width="12.25" bestFit="1" customWidth="1"/>
    <col min="8" max="8" width="11" bestFit="1" customWidth="1"/>
    <col min="9" max="9" width="17.625" bestFit="1" customWidth="1"/>
    <col min="10" max="10" width="13.75" bestFit="1" customWidth="1"/>
    <col min="11" max="11" width="13.5" bestFit="1" customWidth="1"/>
    <col min="12" max="12" width="12.25" bestFit="1" customWidth="1"/>
    <col min="13" max="13" width="11.875" bestFit="1" customWidth="1"/>
    <col min="14" max="15" width="13.75" bestFit="1" customWidth="1"/>
  </cols>
  <sheetData>
    <row r="2" spans="1:15" ht="29.25" customHeight="1" x14ac:dyDescent="0.2">
      <c r="A2" s="73" t="s">
        <v>28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" thickBot="1" x14ac:dyDescent="0.25"/>
    <row r="4" spans="1:15" ht="24.75" customHeight="1" thickTop="1" x14ac:dyDescent="0.2">
      <c r="A4" s="48" t="s">
        <v>0</v>
      </c>
      <c r="B4" s="50" t="s">
        <v>1</v>
      </c>
      <c r="C4" s="1" t="s">
        <v>4</v>
      </c>
      <c r="D4" s="1" t="s">
        <v>2</v>
      </c>
      <c r="E4" s="1" t="s">
        <v>6</v>
      </c>
      <c r="F4" s="1" t="s">
        <v>7</v>
      </c>
      <c r="G4" s="1" t="s">
        <v>9</v>
      </c>
      <c r="H4" s="1" t="s">
        <v>11</v>
      </c>
      <c r="I4" s="52" t="s">
        <v>13</v>
      </c>
      <c r="J4" s="52" t="s">
        <v>14</v>
      </c>
      <c r="K4" s="1" t="s">
        <v>15</v>
      </c>
      <c r="L4" s="1" t="s">
        <v>17</v>
      </c>
      <c r="M4" s="1" t="s">
        <v>19</v>
      </c>
      <c r="N4" s="74" t="s">
        <v>20</v>
      </c>
      <c r="O4" s="76" t="s">
        <v>21</v>
      </c>
    </row>
    <row r="5" spans="1:15" ht="24" customHeight="1" thickBot="1" x14ac:dyDescent="0.25">
      <c r="A5" s="49"/>
      <c r="B5" s="51"/>
      <c r="C5" s="4" t="s">
        <v>29</v>
      </c>
      <c r="D5" s="4" t="s">
        <v>3</v>
      </c>
      <c r="E5" s="4" t="s">
        <v>5</v>
      </c>
      <c r="F5" s="4" t="s">
        <v>8</v>
      </c>
      <c r="G5" s="4" t="s">
        <v>10</v>
      </c>
      <c r="H5" s="4" t="s">
        <v>12</v>
      </c>
      <c r="I5" s="53"/>
      <c r="J5" s="53"/>
      <c r="K5" s="4" t="s">
        <v>16</v>
      </c>
      <c r="L5" s="4" t="s">
        <v>18</v>
      </c>
      <c r="M5" s="4"/>
      <c r="N5" s="75"/>
      <c r="O5" s="77"/>
    </row>
    <row r="6" spans="1:15" ht="21" customHeight="1" x14ac:dyDescent="0.2">
      <c r="A6" s="78">
        <v>1</v>
      </c>
      <c r="B6" s="44">
        <v>10</v>
      </c>
      <c r="C6" s="5" t="s">
        <v>22</v>
      </c>
      <c r="D6" s="5">
        <v>31</v>
      </c>
      <c r="E6" s="5">
        <v>700000</v>
      </c>
      <c r="F6" s="5">
        <f>IF(D7&gt;0,E6/7.33*1.4*D7,0)</f>
        <v>2673942.7012278303</v>
      </c>
      <c r="G6" s="5">
        <f>IF(D6:D41,1100000/30*D6,0)</f>
        <v>1136666.6666666665</v>
      </c>
      <c r="H6" s="5"/>
      <c r="I6" s="44">
        <f>G6+F6+F7+E7+G7+H6+H7</f>
        <v>25923942.701227829</v>
      </c>
      <c r="J6" s="44">
        <f>I6-G7</f>
        <v>25923942.701227829</v>
      </c>
      <c r="K6" s="5">
        <f>J6*7%</f>
        <v>1814675.9890859481</v>
      </c>
      <c r="L6" s="5">
        <v>5000000</v>
      </c>
      <c r="M6" s="5"/>
      <c r="N6" s="44">
        <f>M6+M7+L6+L7+K6+K7</f>
        <v>7407070.2592087314</v>
      </c>
      <c r="O6" s="46">
        <f>I6-N6</f>
        <v>18516872.442019098</v>
      </c>
    </row>
    <row r="7" spans="1:15" ht="21" customHeight="1" thickBot="1" x14ac:dyDescent="0.25">
      <c r="A7" s="79"/>
      <c r="B7" s="45"/>
      <c r="C7" s="3" t="s">
        <v>23</v>
      </c>
      <c r="D7" s="3">
        <v>20</v>
      </c>
      <c r="E7" s="3">
        <f>IF(D6&gt;0,E6*D6,0)</f>
        <v>21700000</v>
      </c>
      <c r="F7" s="3">
        <f>IF(D6&gt;0,400000/30*D6,0)</f>
        <v>413333.33333333337</v>
      </c>
      <c r="G7" s="3"/>
      <c r="H7" s="3"/>
      <c r="I7" s="45"/>
      <c r="J7" s="45"/>
      <c r="K7" s="3">
        <f>IF(I6&gt;20000000,(I6-20000000)*10%,0)</f>
        <v>592394.27012278291</v>
      </c>
      <c r="L7" s="3"/>
      <c r="M7" s="3"/>
      <c r="N7" s="45"/>
      <c r="O7" s="47"/>
    </row>
    <row r="8" spans="1:15" ht="21" customHeight="1" x14ac:dyDescent="0.2">
      <c r="A8" s="60">
        <v>2</v>
      </c>
      <c r="B8" s="71"/>
      <c r="C8" s="7"/>
      <c r="D8" s="7"/>
      <c r="E8" s="7"/>
      <c r="F8" s="5">
        <f>IF(D9&gt;0,E8/7.33*1.4*D9,0)</f>
        <v>0</v>
      </c>
      <c r="G8" s="5">
        <f>IF(D8:D43,1100000/30*D8,0)</f>
        <v>0</v>
      </c>
      <c r="H8" s="7"/>
      <c r="I8" s="44">
        <f>G8+F8+F9+E9+G9+H8+H9</f>
        <v>0</v>
      </c>
      <c r="J8" s="44">
        <f>I8-G9</f>
        <v>0</v>
      </c>
      <c r="K8" s="5">
        <f>J8*7%</f>
        <v>0</v>
      </c>
      <c r="L8" s="7"/>
      <c r="M8" s="7"/>
      <c r="N8" s="44">
        <f>M8+M9+L8+L9+K8+K9</f>
        <v>0</v>
      </c>
      <c r="O8" s="46">
        <f>I8-N8</f>
        <v>0</v>
      </c>
    </row>
    <row r="9" spans="1:15" ht="21" customHeight="1" thickBot="1" x14ac:dyDescent="0.25">
      <c r="A9" s="61"/>
      <c r="B9" s="72"/>
      <c r="C9" s="12"/>
      <c r="D9" s="12"/>
      <c r="E9" s="3">
        <f>IF(D8&gt;0,E8*D8,0)</f>
        <v>0</v>
      </c>
      <c r="F9" s="3">
        <f>IF(D8&gt;0,400000/30*D8,0)</f>
        <v>0</v>
      </c>
      <c r="G9" s="12"/>
      <c r="H9" s="12"/>
      <c r="I9" s="45"/>
      <c r="J9" s="45"/>
      <c r="K9" s="3">
        <f>IF(I8&gt;20000000,(I8-20000000)*10%,0)</f>
        <v>0</v>
      </c>
      <c r="L9" s="12"/>
      <c r="M9" s="12"/>
      <c r="N9" s="45"/>
      <c r="O9" s="47"/>
    </row>
    <row r="10" spans="1:15" ht="21" customHeight="1" x14ac:dyDescent="0.2">
      <c r="A10" s="62">
        <v>3</v>
      </c>
      <c r="B10" s="71"/>
      <c r="C10" s="2"/>
      <c r="D10" s="2"/>
      <c r="E10" s="2"/>
      <c r="F10" s="5">
        <f>IF(D11&gt;0,E10/7.33*1.4*D11,0)</f>
        <v>0</v>
      </c>
      <c r="G10" s="5">
        <f>IF(D10:D45,1100000/30*D10,0)</f>
        <v>0</v>
      </c>
      <c r="H10" s="2"/>
      <c r="I10" s="44">
        <f>G10+F10+F11+E11+G11+H10+H11</f>
        <v>0</v>
      </c>
      <c r="J10" s="44">
        <f>I10-G11</f>
        <v>0</v>
      </c>
      <c r="K10" s="5">
        <f>J10*7%</f>
        <v>0</v>
      </c>
      <c r="L10" s="2"/>
      <c r="M10" s="2"/>
      <c r="N10" s="44">
        <f>M10+M11+L10+L11+K10+K11</f>
        <v>0</v>
      </c>
      <c r="O10" s="46">
        <f>I10-N10</f>
        <v>0</v>
      </c>
    </row>
    <row r="11" spans="1:15" ht="21" customHeight="1" thickBot="1" x14ac:dyDescent="0.25">
      <c r="A11" s="62"/>
      <c r="B11" s="72"/>
      <c r="C11" s="6"/>
      <c r="D11" s="6"/>
      <c r="E11" s="3">
        <f>IF(D10&gt;0,E10*D10,0)</f>
        <v>0</v>
      </c>
      <c r="F11" s="3">
        <f>IF(D10&gt;0,400000/30*D10,0)</f>
        <v>0</v>
      </c>
      <c r="G11" s="6"/>
      <c r="H11" s="6"/>
      <c r="I11" s="45"/>
      <c r="J11" s="45"/>
      <c r="K11" s="3">
        <f>IF(I10&gt;20000000,(I10-20000000)*10%,0)</f>
        <v>0</v>
      </c>
      <c r="L11" s="6"/>
      <c r="M11" s="6"/>
      <c r="N11" s="45"/>
      <c r="O11" s="47"/>
    </row>
    <row r="12" spans="1:15" ht="21" customHeight="1" x14ac:dyDescent="0.2">
      <c r="A12" s="60">
        <v>4</v>
      </c>
      <c r="B12" s="71"/>
      <c r="C12" s="7"/>
      <c r="D12" s="7"/>
      <c r="E12" s="7"/>
      <c r="F12" s="5">
        <f>IF(D13&gt;0,E12/7.33*1.4*D13,0)</f>
        <v>0</v>
      </c>
      <c r="G12" s="5">
        <f>IF(D12:D47,1100000/30*D12,0)</f>
        <v>0</v>
      </c>
      <c r="H12" s="7"/>
      <c r="I12" s="44">
        <f>G12+F12+F13+E13+G13+H12+H13</f>
        <v>0</v>
      </c>
      <c r="J12" s="44">
        <f>I12-G13</f>
        <v>0</v>
      </c>
      <c r="K12" s="5">
        <f>J12*7%</f>
        <v>0</v>
      </c>
      <c r="L12" s="7"/>
      <c r="M12" s="7"/>
      <c r="N12" s="44">
        <f>M12+M13+L12+L13+K12+K13</f>
        <v>0</v>
      </c>
      <c r="O12" s="46">
        <f>I12-N12</f>
        <v>0</v>
      </c>
    </row>
    <row r="13" spans="1:15" ht="21" customHeight="1" thickBot="1" x14ac:dyDescent="0.25">
      <c r="A13" s="61"/>
      <c r="B13" s="72"/>
      <c r="C13" s="12"/>
      <c r="D13" s="12"/>
      <c r="E13" s="3">
        <f>IF(D12&gt;0,E12*D12,0)</f>
        <v>0</v>
      </c>
      <c r="F13" s="3">
        <f>IF(D12&gt;0,400000/30*D12,0)</f>
        <v>0</v>
      </c>
      <c r="G13" s="12"/>
      <c r="H13" s="12"/>
      <c r="I13" s="45"/>
      <c r="J13" s="45"/>
      <c r="K13" s="3">
        <f>IF(I12&gt;20000000,(I12-20000000)*10%,0)</f>
        <v>0</v>
      </c>
      <c r="L13" s="12"/>
      <c r="M13" s="12"/>
      <c r="N13" s="45"/>
      <c r="O13" s="47"/>
    </row>
    <row r="14" spans="1:15" ht="21" customHeight="1" x14ac:dyDescent="0.2">
      <c r="A14" s="62">
        <v>5</v>
      </c>
      <c r="B14" s="71"/>
      <c r="C14" s="2"/>
      <c r="D14" s="2"/>
      <c r="E14" s="2"/>
      <c r="F14" s="5">
        <f>IF(D15&gt;0,E14/7.33*1.4*D15,0)</f>
        <v>0</v>
      </c>
      <c r="G14" s="5">
        <f>IF(D14:D49,1100000/30*D14,0)</f>
        <v>0</v>
      </c>
      <c r="H14" s="2"/>
      <c r="I14" s="44">
        <f>G14+F14+F15+E15+G15+H14+H15</f>
        <v>0</v>
      </c>
      <c r="J14" s="44">
        <f>I14-G15</f>
        <v>0</v>
      </c>
      <c r="K14" s="5">
        <f>J14*7%</f>
        <v>0</v>
      </c>
      <c r="L14" s="2"/>
      <c r="M14" s="2"/>
      <c r="N14" s="44">
        <f>M14+M15+L14+L15+K14+K15</f>
        <v>0</v>
      </c>
      <c r="O14" s="46">
        <f>I14-N14</f>
        <v>0</v>
      </c>
    </row>
    <row r="15" spans="1:15" ht="21" customHeight="1" thickBot="1" x14ac:dyDescent="0.25">
      <c r="A15" s="62"/>
      <c r="B15" s="72"/>
      <c r="C15" s="6"/>
      <c r="D15" s="6"/>
      <c r="E15" s="3">
        <f>IF(D14&gt;0,E14*D14,0)</f>
        <v>0</v>
      </c>
      <c r="F15" s="3">
        <f>IF(D14&gt;0,400000/30*D14,0)</f>
        <v>0</v>
      </c>
      <c r="G15" s="6"/>
      <c r="H15" s="6"/>
      <c r="I15" s="45"/>
      <c r="J15" s="45"/>
      <c r="K15" s="3">
        <f>IF(I14&gt;20000000,(I14-20000000)*10%,0)</f>
        <v>0</v>
      </c>
      <c r="L15" s="6"/>
      <c r="M15" s="6"/>
      <c r="N15" s="45"/>
      <c r="O15" s="47"/>
    </row>
    <row r="16" spans="1:15" ht="21" customHeight="1" x14ac:dyDescent="0.2">
      <c r="A16" s="60">
        <v>6</v>
      </c>
      <c r="B16" s="71"/>
      <c r="C16" s="7"/>
      <c r="D16" s="7"/>
      <c r="E16" s="7"/>
      <c r="F16" s="5">
        <f>IF(D17&gt;0,E16/7.33*1.4*D17,0)</f>
        <v>0</v>
      </c>
      <c r="G16" s="5">
        <f>IF(D16:D51,1100000/30*D16,0)</f>
        <v>0</v>
      </c>
      <c r="H16" s="7"/>
      <c r="I16" s="44">
        <f>G16+F16+F17+E17+G17+H16+H17</f>
        <v>0</v>
      </c>
      <c r="J16" s="44">
        <f>I16-G17</f>
        <v>0</v>
      </c>
      <c r="K16" s="5">
        <f>J16*7%</f>
        <v>0</v>
      </c>
      <c r="L16" s="7"/>
      <c r="M16" s="7"/>
      <c r="N16" s="44">
        <f>M16+M17+L16+L17+K16+K17</f>
        <v>0</v>
      </c>
      <c r="O16" s="46">
        <f>I16-N16</f>
        <v>0</v>
      </c>
    </row>
    <row r="17" spans="1:15" ht="21" customHeight="1" thickBot="1" x14ac:dyDescent="0.25">
      <c r="A17" s="61"/>
      <c r="B17" s="72"/>
      <c r="C17" s="12"/>
      <c r="D17" s="12"/>
      <c r="E17" s="3">
        <f>IF(D16&gt;0,E16*D16,0)</f>
        <v>0</v>
      </c>
      <c r="F17" s="3">
        <f>IF(D16&gt;0,400000/30*D16,0)</f>
        <v>0</v>
      </c>
      <c r="G17" s="12"/>
      <c r="H17" s="12"/>
      <c r="I17" s="45"/>
      <c r="J17" s="45"/>
      <c r="K17" s="3">
        <f>IF(I16&gt;20000000,(I16-20000000)*10%,0)</f>
        <v>0</v>
      </c>
      <c r="L17" s="12"/>
      <c r="M17" s="12"/>
      <c r="N17" s="45"/>
      <c r="O17" s="47"/>
    </row>
    <row r="18" spans="1:15" ht="21" customHeight="1" x14ac:dyDescent="0.2">
      <c r="A18" s="62">
        <v>7</v>
      </c>
      <c r="B18" s="71"/>
      <c r="C18" s="2"/>
      <c r="D18" s="2"/>
      <c r="E18" s="2"/>
      <c r="F18" s="5">
        <f>IF(D19&gt;0,E18/7.33*1.4*D19,0)</f>
        <v>0</v>
      </c>
      <c r="G18" s="5">
        <f>IF(D18:D53,1100000/30*D18,0)</f>
        <v>0</v>
      </c>
      <c r="H18" s="2"/>
      <c r="I18" s="44">
        <f>G18+F18+F19+E19+G19+H18+H19</f>
        <v>0</v>
      </c>
      <c r="J18" s="44">
        <f>I18-G19</f>
        <v>0</v>
      </c>
      <c r="K18" s="5">
        <f>J18*7%</f>
        <v>0</v>
      </c>
      <c r="L18" s="2"/>
      <c r="M18" s="2"/>
      <c r="N18" s="44">
        <f>M18+M19+L18+L19+K18+K19</f>
        <v>0</v>
      </c>
      <c r="O18" s="46">
        <f>I18-N18</f>
        <v>0</v>
      </c>
    </row>
    <row r="19" spans="1:15" ht="21" customHeight="1" thickBot="1" x14ac:dyDescent="0.25">
      <c r="A19" s="62"/>
      <c r="B19" s="72"/>
      <c r="C19" s="6"/>
      <c r="D19" s="6"/>
      <c r="E19" s="3">
        <f>IF(D18&gt;0,E18*D18,0)</f>
        <v>0</v>
      </c>
      <c r="F19" s="3">
        <f>IF(D18&gt;0,400000/30*D18,0)</f>
        <v>0</v>
      </c>
      <c r="G19" s="6"/>
      <c r="H19" s="6"/>
      <c r="I19" s="45"/>
      <c r="J19" s="45"/>
      <c r="K19" s="3">
        <f>IF(I18&gt;20000000,(I18-20000000)*10%,0)</f>
        <v>0</v>
      </c>
      <c r="L19" s="6"/>
      <c r="M19" s="6"/>
      <c r="N19" s="45"/>
      <c r="O19" s="47"/>
    </row>
    <row r="20" spans="1:15" ht="21" customHeight="1" x14ac:dyDescent="0.2">
      <c r="A20" s="63" t="s">
        <v>27</v>
      </c>
      <c r="B20" s="64"/>
      <c r="C20" s="65"/>
      <c r="D20" s="10"/>
      <c r="E20" s="10"/>
      <c r="F20" s="11">
        <f t="shared" ref="F20:H21" si="0">F6+F8+F10+F12+F16+F18</f>
        <v>2673942.7012278303</v>
      </c>
      <c r="G20" s="11">
        <f t="shared" si="0"/>
        <v>1136666.6666666665</v>
      </c>
      <c r="H20" s="11">
        <f t="shared" si="0"/>
        <v>0</v>
      </c>
      <c r="I20" s="69">
        <f>SUM(I6:I19)</f>
        <v>25923942.701227829</v>
      </c>
      <c r="J20" s="69">
        <f>SUM(J6:J19)</f>
        <v>25923942.701227829</v>
      </c>
      <c r="K20" s="11">
        <f t="shared" ref="K20:M21" si="1">K6+K8+K10+K12+K16+K18</f>
        <v>1814675.9890859481</v>
      </c>
      <c r="L20" s="11">
        <f t="shared" si="1"/>
        <v>5000000</v>
      </c>
      <c r="M20" s="11">
        <f t="shared" si="1"/>
        <v>0</v>
      </c>
      <c r="N20" s="69">
        <f>SUM(N6:N19)</f>
        <v>7407070.2592087314</v>
      </c>
      <c r="O20" s="69">
        <f>SUM(O6:O19)</f>
        <v>18516872.442019098</v>
      </c>
    </row>
    <row r="21" spans="1:15" ht="27" customHeight="1" thickBot="1" x14ac:dyDescent="0.25">
      <c r="A21" s="66"/>
      <c r="B21" s="67"/>
      <c r="C21" s="68"/>
      <c r="D21" s="8"/>
      <c r="E21" s="9">
        <f>E7+E9+E11+E13+E14+E16+E18+E20</f>
        <v>21700000</v>
      </c>
      <c r="F21" s="9">
        <f t="shared" si="0"/>
        <v>413333.33333333337</v>
      </c>
      <c r="G21" s="9">
        <f t="shared" si="0"/>
        <v>0</v>
      </c>
      <c r="H21" s="9">
        <f t="shared" si="0"/>
        <v>0</v>
      </c>
      <c r="I21" s="70"/>
      <c r="J21" s="70"/>
      <c r="K21" s="9">
        <f t="shared" si="1"/>
        <v>592394.27012278291</v>
      </c>
      <c r="L21" s="9">
        <f t="shared" si="1"/>
        <v>0</v>
      </c>
      <c r="M21" s="9">
        <f t="shared" si="1"/>
        <v>0</v>
      </c>
      <c r="N21" s="70"/>
      <c r="O21" s="70"/>
    </row>
    <row r="22" spans="1:15" ht="20.25" customHeight="1" thickTop="1" x14ac:dyDescent="0.2">
      <c r="I22" s="54" t="s">
        <v>24</v>
      </c>
      <c r="J22" s="55"/>
      <c r="K22" s="15">
        <f>IF(J20&gt;0,J20*20%,0)</f>
        <v>5184788.5402455665</v>
      </c>
    </row>
    <row r="23" spans="1:15" ht="20.25" customHeight="1" x14ac:dyDescent="0.2">
      <c r="I23" s="56" t="s">
        <v>25</v>
      </c>
      <c r="J23" s="57"/>
      <c r="K23" s="16">
        <f>IF(J20&gt;0,J20*3%,0)</f>
        <v>777718.28103683481</v>
      </c>
    </row>
    <row r="24" spans="1:15" ht="20.25" customHeight="1" thickBot="1" x14ac:dyDescent="0.25">
      <c r="I24" s="58" t="s">
        <v>26</v>
      </c>
      <c r="J24" s="59"/>
      <c r="K24" s="17">
        <f>K23+K22+K20</f>
        <v>7777182.8103683498</v>
      </c>
    </row>
    <row r="25" spans="1:15" ht="15" thickTop="1" x14ac:dyDescent="0.2"/>
  </sheetData>
  <mergeCells count="57">
    <mergeCell ref="J18:J19"/>
    <mergeCell ref="O18:O19"/>
    <mergeCell ref="A2:O2"/>
    <mergeCell ref="N10:N11"/>
    <mergeCell ref="N12:N13"/>
    <mergeCell ref="N14:N15"/>
    <mergeCell ref="N16:N17"/>
    <mergeCell ref="N18:N19"/>
    <mergeCell ref="O8:O9"/>
    <mergeCell ref="O10:O11"/>
    <mergeCell ref="O12:O13"/>
    <mergeCell ref="O14:O15"/>
    <mergeCell ref="O16:O17"/>
    <mergeCell ref="N4:N5"/>
    <mergeCell ref="O4:O5"/>
    <mergeCell ref="A6:A7"/>
    <mergeCell ref="I18:I19"/>
    <mergeCell ref="J20:J21"/>
    <mergeCell ref="N20:N21"/>
    <mergeCell ref="O20:O21"/>
    <mergeCell ref="B8:B9"/>
    <mergeCell ref="B10:B11"/>
    <mergeCell ref="B12:B13"/>
    <mergeCell ref="B14:B15"/>
    <mergeCell ref="B16:B17"/>
    <mergeCell ref="B18:B19"/>
    <mergeCell ref="N8:N9"/>
    <mergeCell ref="J8:J9"/>
    <mergeCell ref="J10:J11"/>
    <mergeCell ref="J12:J13"/>
    <mergeCell ref="J14:J15"/>
    <mergeCell ref="J16:J17"/>
    <mergeCell ref="I22:J22"/>
    <mergeCell ref="I23:J23"/>
    <mergeCell ref="I24:J24"/>
    <mergeCell ref="A8:A9"/>
    <mergeCell ref="A10:A11"/>
    <mergeCell ref="A12:A13"/>
    <mergeCell ref="A14:A15"/>
    <mergeCell ref="A16:A17"/>
    <mergeCell ref="A18:A19"/>
    <mergeCell ref="A20:C21"/>
    <mergeCell ref="I20:I21"/>
    <mergeCell ref="I8:I9"/>
    <mergeCell ref="I10:I11"/>
    <mergeCell ref="I12:I13"/>
    <mergeCell ref="I14:I15"/>
    <mergeCell ref="I16:I17"/>
    <mergeCell ref="I6:I7"/>
    <mergeCell ref="J6:J7"/>
    <mergeCell ref="N6:N7"/>
    <mergeCell ref="O6:O7"/>
    <mergeCell ref="A4:A5"/>
    <mergeCell ref="B4:B5"/>
    <mergeCell ref="I4:I5"/>
    <mergeCell ref="J4:J5"/>
    <mergeCell ref="B6:B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0"/>
  <sheetViews>
    <sheetView rightToLeft="1" view="pageLayout" topLeftCell="A4" workbookViewId="0">
      <selection activeCell="A5" sqref="A5:A6"/>
    </sheetView>
  </sheetViews>
  <sheetFormatPr defaultRowHeight="14.25" x14ac:dyDescent="0.2"/>
  <cols>
    <col min="1" max="1" width="5.375" bestFit="1" customWidth="1"/>
    <col min="2" max="2" width="8.125" bestFit="1" customWidth="1"/>
    <col min="3" max="3" width="18.25" customWidth="1"/>
    <col min="4" max="4" width="7.875" customWidth="1"/>
    <col min="5" max="5" width="10.875" bestFit="1" customWidth="1"/>
    <col min="6" max="6" width="13.75" bestFit="1" customWidth="1"/>
    <col min="7" max="7" width="15.875" bestFit="1" customWidth="1"/>
    <col min="8" max="9" width="12.25" bestFit="1" customWidth="1"/>
    <col min="10" max="10" width="11.375" customWidth="1"/>
    <col min="11" max="11" width="17.625" bestFit="1" customWidth="1"/>
    <col min="12" max="12" width="13.75" bestFit="1" customWidth="1"/>
    <col min="13" max="13" width="13.5" bestFit="1" customWidth="1"/>
    <col min="14" max="14" width="12.25" bestFit="1" customWidth="1"/>
    <col min="15" max="15" width="11.875" bestFit="1" customWidth="1"/>
    <col min="16" max="16" width="12.25" bestFit="1" customWidth="1"/>
    <col min="17" max="17" width="13.75" bestFit="1" customWidth="1"/>
  </cols>
  <sheetData>
    <row r="2" spans="1:17" ht="23.25" x14ac:dyDescent="0.2">
      <c r="A2" s="80" t="s">
        <v>41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23.25" x14ac:dyDescent="0.35">
      <c r="A3" s="91" t="s">
        <v>42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ht="21" thickBot="1" x14ac:dyDescent="0.3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29.25" customHeight="1" thickTop="1" x14ac:dyDescent="0.2">
      <c r="A5" s="81" t="s">
        <v>0</v>
      </c>
      <c r="B5" s="83" t="s">
        <v>1</v>
      </c>
      <c r="C5" s="40" t="s">
        <v>4</v>
      </c>
      <c r="D5" s="112" t="s">
        <v>2</v>
      </c>
      <c r="E5" s="40" t="s">
        <v>3</v>
      </c>
      <c r="F5" s="40" t="s">
        <v>5</v>
      </c>
      <c r="G5" s="40" t="s">
        <v>30</v>
      </c>
      <c r="H5" s="40" t="s">
        <v>9</v>
      </c>
      <c r="I5" s="40" t="s">
        <v>32</v>
      </c>
      <c r="J5" s="40" t="s">
        <v>33</v>
      </c>
      <c r="K5" s="85" t="s">
        <v>13</v>
      </c>
      <c r="L5" s="85" t="s">
        <v>14</v>
      </c>
      <c r="M5" s="40" t="s">
        <v>15</v>
      </c>
      <c r="N5" s="40" t="s">
        <v>17</v>
      </c>
      <c r="O5" s="40" t="s">
        <v>19</v>
      </c>
      <c r="P5" s="87" t="s">
        <v>20</v>
      </c>
      <c r="Q5" s="89" t="s">
        <v>21</v>
      </c>
    </row>
    <row r="6" spans="1:17" ht="32.25" customHeight="1" thickBot="1" x14ac:dyDescent="0.25">
      <c r="A6" s="82"/>
      <c r="B6" s="84"/>
      <c r="C6" s="41" t="s">
        <v>29</v>
      </c>
      <c r="D6" s="113"/>
      <c r="E6" s="41" t="s">
        <v>30</v>
      </c>
      <c r="F6" s="41" t="s">
        <v>31</v>
      </c>
      <c r="G6" s="41" t="s">
        <v>8</v>
      </c>
      <c r="H6" s="41" t="s">
        <v>10</v>
      </c>
      <c r="I6" s="41" t="s">
        <v>34</v>
      </c>
      <c r="J6" s="41" t="s">
        <v>35</v>
      </c>
      <c r="K6" s="86"/>
      <c r="L6" s="86"/>
      <c r="M6" s="41" t="s">
        <v>16</v>
      </c>
      <c r="N6" s="41" t="s">
        <v>18</v>
      </c>
      <c r="O6" s="41"/>
      <c r="P6" s="88"/>
      <c r="Q6" s="90"/>
    </row>
    <row r="7" spans="1:17" ht="30.75" customHeight="1" thickTop="1" x14ac:dyDescent="0.2">
      <c r="A7" s="93">
        <v>1</v>
      </c>
      <c r="B7" s="95">
        <v>90307</v>
      </c>
      <c r="C7" s="95" t="s">
        <v>36</v>
      </c>
      <c r="D7" s="95">
        <v>30</v>
      </c>
      <c r="E7" s="42">
        <v>50</v>
      </c>
      <c r="F7" s="42">
        <f>IF(D7&gt;0,10690407/30*D7,0)</f>
        <v>10690407</v>
      </c>
      <c r="G7" s="42">
        <f>IF(E8&gt;0,(F7+G8+I7+I8+J8)/D7*1.4*E8,0)</f>
        <v>4418863.1199999992</v>
      </c>
      <c r="H7" s="42">
        <f>IF(D7&gt;0,1100000/30*D7,0)</f>
        <v>1100000</v>
      </c>
      <c r="I7" s="42">
        <f>IF(D7&gt;0,1429303/30*D7,0)</f>
        <v>1429303</v>
      </c>
      <c r="J7" s="43">
        <f>IF(D7&gt;0,540000/30*D7,";0")</f>
        <v>540000</v>
      </c>
      <c r="K7" s="95">
        <f>H7+G7+G8+F8+H8+I7+I8+J7+J8+F7</f>
        <v>27357695.823501591</v>
      </c>
      <c r="L7" s="95">
        <f>F7+H7</f>
        <v>11790407</v>
      </c>
      <c r="M7" s="42">
        <f>L7*7%</f>
        <v>825328.49000000011</v>
      </c>
      <c r="N7" s="42"/>
      <c r="O7" s="42"/>
      <c r="P7" s="95">
        <f>O7+O8+N7+N8+M7+M8</f>
        <v>6561098.0723501593</v>
      </c>
      <c r="Q7" s="97">
        <f>K7-P7</f>
        <v>20796597.751151431</v>
      </c>
    </row>
    <row r="8" spans="1:17" ht="30.75" customHeight="1" thickBot="1" x14ac:dyDescent="0.25">
      <c r="A8" s="94"/>
      <c r="B8" s="96"/>
      <c r="C8" s="96"/>
      <c r="D8" s="96"/>
      <c r="E8" s="26">
        <v>6</v>
      </c>
      <c r="F8" s="26">
        <f>IF(E7&gt;0,(F7+I7+I8)/30/7.33*1.4)*E7</f>
        <v>4587247.7035015905</v>
      </c>
      <c r="G8" s="26">
        <f>IF(D7&gt;0,400000/30*D7,0)</f>
        <v>400000</v>
      </c>
      <c r="H8" s="26">
        <f>IF(D7&gt;0,929931/30*D7,0)</f>
        <v>929931</v>
      </c>
      <c r="I8" s="26">
        <f>IF(D7&gt;0,2290801/30*D7,0)</f>
        <v>2290801</v>
      </c>
      <c r="J8" s="26">
        <f>IF(D7&gt;0,971143/30*D7,";0")</f>
        <v>971143</v>
      </c>
      <c r="K8" s="96"/>
      <c r="L8" s="96"/>
      <c r="M8" s="26">
        <f>IF(K7&gt;20000000,(K7-20000000)*10%,0)</f>
        <v>735769.58235015906</v>
      </c>
      <c r="N8" s="26">
        <v>5000000</v>
      </c>
      <c r="O8" s="26"/>
      <c r="P8" s="96"/>
      <c r="Q8" s="98"/>
    </row>
    <row r="9" spans="1:17" ht="30" customHeight="1" thickTop="1" x14ac:dyDescent="0.2">
      <c r="A9" s="62">
        <v>2</v>
      </c>
      <c r="B9" s="99">
        <v>96008</v>
      </c>
      <c r="C9" s="99" t="s">
        <v>37</v>
      </c>
      <c r="D9" s="99">
        <v>30</v>
      </c>
      <c r="E9" s="20">
        <v>20</v>
      </c>
      <c r="F9" s="24">
        <f>IF(D9&gt;0,9299310/30*D9,0)</f>
        <v>9299310</v>
      </c>
      <c r="G9" s="24">
        <f>IF(E10&gt;0,(F9+I9+I10+G10)/D9*1.4*E10,0)</f>
        <v>0</v>
      </c>
      <c r="H9" s="24">
        <f>IF(D9&gt;0,1100000/30*D9,0)</f>
        <v>1100000</v>
      </c>
      <c r="I9" s="18"/>
      <c r="J9" s="18"/>
      <c r="K9" s="100">
        <f>H9+G9+G10+F10+F9</f>
        <v>11983396.766712142</v>
      </c>
      <c r="L9" s="100">
        <f>F9+H9</f>
        <v>10399310</v>
      </c>
      <c r="M9" s="24">
        <f>L9*7%</f>
        <v>727951.70000000007</v>
      </c>
      <c r="N9" s="18"/>
      <c r="O9" s="18"/>
      <c r="P9" s="100">
        <f>O9+O10+N9+N10+M9+M10</f>
        <v>727951.70000000007</v>
      </c>
      <c r="Q9" s="92">
        <f>K9-P9</f>
        <v>11255445.066712143</v>
      </c>
    </row>
    <row r="10" spans="1:17" ht="30" customHeight="1" thickBot="1" x14ac:dyDescent="0.25">
      <c r="A10" s="62"/>
      <c r="B10" s="99"/>
      <c r="C10" s="99"/>
      <c r="D10" s="99"/>
      <c r="E10" s="21"/>
      <c r="F10" s="27">
        <f>IF(E9&gt;0,(F9+I9+I10)/30/7.33*1.4*E9,0)</f>
        <v>1184086.7667121417</v>
      </c>
      <c r="G10" s="27">
        <f>IF(D9&gt;0,400000/30*D9,0)</f>
        <v>400000</v>
      </c>
      <c r="H10" s="19"/>
      <c r="I10" s="19"/>
      <c r="J10" s="19"/>
      <c r="K10" s="100"/>
      <c r="L10" s="100"/>
      <c r="M10" s="27">
        <f>IF(K9&gt;20000000,(K9-20000000)*10%,0)</f>
        <v>0</v>
      </c>
      <c r="N10" s="19"/>
      <c r="O10" s="19"/>
      <c r="P10" s="100"/>
      <c r="Q10" s="92"/>
    </row>
    <row r="11" spans="1:17" ht="28.5" customHeight="1" thickTop="1" x14ac:dyDescent="0.25">
      <c r="A11" s="101">
        <v>3</v>
      </c>
      <c r="B11" s="103"/>
      <c r="C11" s="107" t="s">
        <v>38</v>
      </c>
      <c r="D11" s="107">
        <v>30</v>
      </c>
      <c r="E11" s="28">
        <v>7</v>
      </c>
      <c r="F11" s="25">
        <f>IF(D11&gt;0,9299310/30*D11,0)</f>
        <v>9299310</v>
      </c>
      <c r="G11" s="25">
        <f>IF(E12&gt;0,(F11+I11+I12+G12)/D11*1.4*E12,0)</f>
        <v>0</v>
      </c>
      <c r="H11" s="25">
        <f>IF(D11&gt;0,1100000/30*D11,0)</f>
        <v>1100000</v>
      </c>
      <c r="I11" s="29"/>
      <c r="J11" s="29"/>
      <c r="K11" s="105">
        <f>H11+G11+G12+F12+F11</f>
        <v>11213740.36834925</v>
      </c>
      <c r="L11" s="105">
        <f>F11+H11</f>
        <v>10399310</v>
      </c>
      <c r="M11" s="25">
        <f>L11*7%</f>
        <v>727951.70000000007</v>
      </c>
      <c r="N11" s="30"/>
      <c r="O11" s="30"/>
      <c r="P11" s="105">
        <f>O11+O12+N11+N12+M11+M12</f>
        <v>727951.70000000007</v>
      </c>
      <c r="Q11" s="106">
        <f>K11-P11</f>
        <v>10485788.668349251</v>
      </c>
    </row>
    <row r="12" spans="1:17" ht="28.5" customHeight="1" thickBot="1" x14ac:dyDescent="0.3">
      <c r="A12" s="102"/>
      <c r="B12" s="104"/>
      <c r="C12" s="108"/>
      <c r="D12" s="108"/>
      <c r="E12" s="31"/>
      <c r="F12" s="26">
        <f>IF(E11&gt;0,(F11+I11+I12)/30/7.33*1.4*E11,0)</f>
        <v>414430.36834924959</v>
      </c>
      <c r="G12" s="26">
        <f>IF(D11&gt;0,400000/30*D11,0)</f>
        <v>400000</v>
      </c>
      <c r="H12" s="32"/>
      <c r="I12" s="32"/>
      <c r="J12" s="32"/>
      <c r="K12" s="96"/>
      <c r="L12" s="96"/>
      <c r="M12" s="26">
        <f>IF(K11&gt;20000000,(K11-20000000)*10%,0)</f>
        <v>0</v>
      </c>
      <c r="N12" s="33"/>
      <c r="O12" s="33"/>
      <c r="P12" s="96"/>
      <c r="Q12" s="98"/>
    </row>
    <row r="13" spans="1:17" ht="30.75" customHeight="1" thickTop="1" x14ac:dyDescent="0.2">
      <c r="A13" s="62">
        <v>4</v>
      </c>
      <c r="B13" s="99"/>
      <c r="C13" s="99" t="s">
        <v>39</v>
      </c>
      <c r="D13" s="99">
        <v>30</v>
      </c>
      <c r="E13" s="20">
        <v>8</v>
      </c>
      <c r="F13" s="24">
        <f>IF(D13&gt;0,15000000/30*D13,0)</f>
        <v>15000000</v>
      </c>
      <c r="G13" s="24">
        <f>IF(E14&gt;0,500000*E14,0)</f>
        <v>1500000</v>
      </c>
      <c r="H13" s="24"/>
      <c r="I13" s="18"/>
      <c r="J13" s="18"/>
      <c r="K13" s="100">
        <f>H13+G13+G14+F14+F13</f>
        <v>17263983.628922239</v>
      </c>
      <c r="L13" s="100"/>
      <c r="M13" s="24"/>
      <c r="N13" s="18"/>
      <c r="O13" s="18"/>
      <c r="P13" s="100">
        <f>O13+O14+N13+N14+M13+M14</f>
        <v>0</v>
      </c>
      <c r="Q13" s="92">
        <f>K13-P13</f>
        <v>17263983.628922239</v>
      </c>
    </row>
    <row r="14" spans="1:17" ht="30.75" customHeight="1" thickBot="1" x14ac:dyDescent="0.25">
      <c r="A14" s="62"/>
      <c r="B14" s="99"/>
      <c r="C14" s="99"/>
      <c r="D14" s="99"/>
      <c r="E14" s="21">
        <v>3</v>
      </c>
      <c r="F14" s="27">
        <f>IF(E13&gt;0,(F13+I13+I14)/30/7.33*1.4*E13,0)</f>
        <v>763983.62892223732</v>
      </c>
      <c r="G14" s="27"/>
      <c r="H14" s="19"/>
      <c r="I14" s="19"/>
      <c r="J14" s="19"/>
      <c r="K14" s="100"/>
      <c r="L14" s="100"/>
      <c r="M14" s="27">
        <f>IF(K13&gt;20000000,(K13-20000000)*10%,0)</f>
        <v>0</v>
      </c>
      <c r="N14" s="19"/>
      <c r="O14" s="19"/>
      <c r="P14" s="100"/>
      <c r="Q14" s="92"/>
    </row>
    <row r="15" spans="1:17" ht="31.5" customHeight="1" thickTop="1" x14ac:dyDescent="0.2">
      <c r="A15" s="101">
        <v>5</v>
      </c>
      <c r="B15" s="107"/>
      <c r="C15" s="107" t="s">
        <v>40</v>
      </c>
      <c r="D15" s="107">
        <v>30</v>
      </c>
      <c r="E15" s="37"/>
      <c r="F15" s="38">
        <f>IF(D15&gt;0,5000000/30*D15,0)</f>
        <v>5000000</v>
      </c>
      <c r="G15" s="25"/>
      <c r="H15" s="25"/>
      <c r="I15" s="29"/>
      <c r="J15" s="29"/>
      <c r="K15" s="105">
        <f>H15+G15+G16+F16+F15</f>
        <v>5000000</v>
      </c>
      <c r="L15" s="105"/>
      <c r="M15" s="25">
        <f>L15*7%</f>
        <v>0</v>
      </c>
      <c r="N15" s="29"/>
      <c r="O15" s="29"/>
      <c r="P15" s="105">
        <f>O15+O16+N15+N16+M15+M16</f>
        <v>0</v>
      </c>
      <c r="Q15" s="106">
        <f>K15-P15</f>
        <v>5000000</v>
      </c>
    </row>
    <row r="16" spans="1:17" ht="31.5" customHeight="1" thickBot="1" x14ac:dyDescent="0.25">
      <c r="A16" s="102"/>
      <c r="B16" s="108"/>
      <c r="C16" s="108"/>
      <c r="D16" s="108"/>
      <c r="E16" s="39"/>
      <c r="F16" s="26"/>
      <c r="G16" s="26"/>
      <c r="H16" s="32"/>
      <c r="I16" s="32"/>
      <c r="J16" s="32"/>
      <c r="K16" s="96"/>
      <c r="L16" s="96"/>
      <c r="M16" s="26">
        <f>IF(K15&gt;20000000,(K15-20000000)*10%,0)</f>
        <v>0</v>
      </c>
      <c r="N16" s="32"/>
      <c r="O16" s="32"/>
      <c r="P16" s="96"/>
      <c r="Q16" s="98"/>
    </row>
    <row r="17" spans="1:17" ht="32.25" customHeight="1" thickTop="1" x14ac:dyDescent="0.2">
      <c r="A17" s="114" t="s">
        <v>27</v>
      </c>
      <c r="B17" s="115"/>
      <c r="C17" s="116"/>
      <c r="D17" s="34"/>
      <c r="E17" s="35"/>
      <c r="F17" s="36">
        <f>F15+F13+F11+F9+F7</f>
        <v>49289027</v>
      </c>
      <c r="G17" s="36">
        <f t="shared" ref="G17:I18" si="0">G7+G9+G11+G13</f>
        <v>5918863.1199999992</v>
      </c>
      <c r="H17" s="36">
        <f t="shared" si="0"/>
        <v>3300000</v>
      </c>
      <c r="I17" s="36">
        <f t="shared" si="0"/>
        <v>1429303</v>
      </c>
      <c r="J17" s="36">
        <f>J15+J13+J11+J9+J7</f>
        <v>540000</v>
      </c>
      <c r="K17" s="109">
        <f>SUM(K7:K16)</f>
        <v>72818816.587485224</v>
      </c>
      <c r="L17" s="109">
        <f>SUM(L7:L16)</f>
        <v>32589027</v>
      </c>
      <c r="M17" s="36">
        <f t="shared" ref="M17:O18" si="1">M7+M9+M11+M13</f>
        <v>2281231.89</v>
      </c>
      <c r="N17" s="36">
        <f t="shared" si="1"/>
        <v>0</v>
      </c>
      <c r="O17" s="36">
        <f t="shared" si="1"/>
        <v>0</v>
      </c>
      <c r="P17" s="109">
        <f>SUM(P7:P16)</f>
        <v>8017001.4723501597</v>
      </c>
      <c r="Q17" s="110">
        <f>SUM(Q7:Q16)</f>
        <v>64801815.115135066</v>
      </c>
    </row>
    <row r="18" spans="1:17" ht="32.25" customHeight="1" thickBot="1" x14ac:dyDescent="0.25">
      <c r="A18" s="66"/>
      <c r="B18" s="67"/>
      <c r="C18" s="68"/>
      <c r="D18" s="14"/>
      <c r="E18" s="13"/>
      <c r="F18" s="9">
        <f>F16+F14+F12+F10+F8</f>
        <v>6949748.4674852192</v>
      </c>
      <c r="G18" s="9">
        <f t="shared" si="0"/>
        <v>1200000</v>
      </c>
      <c r="H18" s="9">
        <f t="shared" si="0"/>
        <v>929931</v>
      </c>
      <c r="I18" s="9">
        <f t="shared" si="0"/>
        <v>2290801</v>
      </c>
      <c r="J18" s="9">
        <f>J16+J14+J12+J10+J8</f>
        <v>971143</v>
      </c>
      <c r="K18" s="70"/>
      <c r="L18" s="70"/>
      <c r="M18" s="9">
        <f t="shared" si="1"/>
        <v>735769.58235015906</v>
      </c>
      <c r="N18" s="9">
        <f t="shared" si="1"/>
        <v>5000000</v>
      </c>
      <c r="O18" s="9">
        <f t="shared" si="1"/>
        <v>0</v>
      </c>
      <c r="P18" s="70"/>
      <c r="Q18" s="111"/>
    </row>
    <row r="19" spans="1:17" ht="24.75" customHeight="1" thickTop="1" x14ac:dyDescent="0.2">
      <c r="K19" s="54" t="s">
        <v>24</v>
      </c>
      <c r="L19" s="55"/>
      <c r="M19" s="15">
        <f>IF(L17&gt;0,L17*20%,0)</f>
        <v>6517805.4000000004</v>
      </c>
    </row>
    <row r="20" spans="1:17" ht="24.75" customHeight="1" x14ac:dyDescent="0.2">
      <c r="K20" s="56" t="s">
        <v>25</v>
      </c>
      <c r="L20" s="57"/>
      <c r="M20" s="16">
        <f>IF(L17&gt;0,L17*3%,0)</f>
        <v>977670.80999999994</v>
      </c>
    </row>
    <row r="21" spans="1:17" ht="24.75" customHeight="1" thickBot="1" x14ac:dyDescent="0.25">
      <c r="K21" s="58" t="s">
        <v>26</v>
      </c>
      <c r="L21" s="59"/>
      <c r="M21" s="17">
        <f>M20+M19+M17</f>
        <v>9776708.0999999996</v>
      </c>
    </row>
    <row r="22" spans="1:17" ht="15" thickTop="1" x14ac:dyDescent="0.2"/>
    <row r="30" spans="1:17" ht="18" x14ac:dyDescent="0.25">
      <c r="A30" s="23" t="s">
        <v>43</v>
      </c>
      <c r="B30" s="23"/>
      <c r="C30" s="23"/>
      <c r="D30" s="23"/>
      <c r="E30" s="23"/>
      <c r="F30" s="23" t="s">
        <v>44</v>
      </c>
      <c r="G30" s="23"/>
      <c r="H30" s="23"/>
      <c r="I30" s="23"/>
      <c r="J30" s="23" t="s">
        <v>45</v>
      </c>
      <c r="K30" s="23"/>
      <c r="L30" s="23"/>
      <c r="M30" s="23"/>
      <c r="N30" s="23"/>
      <c r="O30" s="23" t="s">
        <v>46</v>
      </c>
    </row>
  </sheetData>
  <mergeCells count="57">
    <mergeCell ref="K20:L20"/>
    <mergeCell ref="K21:L21"/>
    <mergeCell ref="D5:D6"/>
    <mergeCell ref="C7:C8"/>
    <mergeCell ref="C9:C10"/>
    <mergeCell ref="D9:D10"/>
    <mergeCell ref="D11:D12"/>
    <mergeCell ref="D13:D14"/>
    <mergeCell ref="D15:D16"/>
    <mergeCell ref="A17:C18"/>
    <mergeCell ref="K17:K18"/>
    <mergeCell ref="L17:L18"/>
    <mergeCell ref="A13:A14"/>
    <mergeCell ref="B13:B14"/>
    <mergeCell ref="K13:K14"/>
    <mergeCell ref="L13:L14"/>
    <mergeCell ref="P17:P18"/>
    <mergeCell ref="Q17:Q18"/>
    <mergeCell ref="K19:L19"/>
    <mergeCell ref="A15:A16"/>
    <mergeCell ref="B15:B16"/>
    <mergeCell ref="K15:K16"/>
    <mergeCell ref="L15:L16"/>
    <mergeCell ref="P15:P16"/>
    <mergeCell ref="Q15:Q16"/>
    <mergeCell ref="C15:C16"/>
    <mergeCell ref="P13:P14"/>
    <mergeCell ref="Q13:Q14"/>
    <mergeCell ref="C13:C14"/>
    <mergeCell ref="A11:A12"/>
    <mergeCell ref="B11:B12"/>
    <mergeCell ref="K11:K12"/>
    <mergeCell ref="L11:L12"/>
    <mergeCell ref="P11:P12"/>
    <mergeCell ref="Q11:Q12"/>
    <mergeCell ref="C11:C12"/>
    <mergeCell ref="Q9:Q10"/>
    <mergeCell ref="A7:A8"/>
    <mergeCell ref="B7:B8"/>
    <mergeCell ref="K7:K8"/>
    <mergeCell ref="L7:L8"/>
    <mergeCell ref="P7:P8"/>
    <mergeCell ref="Q7:Q8"/>
    <mergeCell ref="D7:D8"/>
    <mergeCell ref="A9:A10"/>
    <mergeCell ref="B9:B10"/>
    <mergeCell ref="K9:K10"/>
    <mergeCell ref="L9:L10"/>
    <mergeCell ref="P9:P10"/>
    <mergeCell ref="A2:Q2"/>
    <mergeCell ref="A5:A6"/>
    <mergeCell ref="B5:B6"/>
    <mergeCell ref="K5:K6"/>
    <mergeCell ref="L5:L6"/>
    <mergeCell ref="P5:P6"/>
    <mergeCell ref="Q5:Q6"/>
    <mergeCell ref="A3:Q3"/>
  </mergeCells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rightToLeft="1" tabSelected="1" workbookViewId="0">
      <selection sqref="A1:XFD1048576"/>
    </sheetView>
  </sheetViews>
  <sheetFormatPr defaultRowHeight="14.25" x14ac:dyDescent="0.2"/>
  <cols>
    <col min="1" max="1" width="3.25" customWidth="1"/>
    <col min="2" max="2" width="5.25" customWidth="1"/>
    <col min="3" max="3" width="9.5" customWidth="1"/>
    <col min="4" max="4" width="9" customWidth="1"/>
    <col min="5" max="5" width="10.375" customWidth="1"/>
    <col min="6" max="6" width="10.625" customWidth="1"/>
    <col min="7" max="7" width="10.375" customWidth="1"/>
    <col min="8" max="8" width="4.5" customWidth="1"/>
    <col min="9" max="9" width="10.75" customWidth="1"/>
    <col min="10" max="10" width="9.875" customWidth="1"/>
    <col min="11" max="11" width="11.25" customWidth="1"/>
    <col min="12" max="12" width="9.375" customWidth="1"/>
    <col min="13" max="13" width="6.875" customWidth="1"/>
    <col min="14" max="14" width="9.25" customWidth="1"/>
    <col min="15" max="15" width="10.5" customWidth="1"/>
  </cols>
  <sheetData>
    <row r="2" spans="1:15" ht="20.25" x14ac:dyDescent="0.2">
      <c r="A2" s="73" t="s">
        <v>47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" thickBot="1" x14ac:dyDescent="0.25"/>
    <row r="4" spans="1:15" ht="24.75" customHeight="1" thickTop="1" x14ac:dyDescent="0.2">
      <c r="A4" s="158" t="s">
        <v>0</v>
      </c>
      <c r="B4" s="117" t="s">
        <v>1</v>
      </c>
      <c r="C4" s="159" t="s">
        <v>4</v>
      </c>
      <c r="D4" s="159" t="s">
        <v>2</v>
      </c>
      <c r="E4" s="159" t="s">
        <v>6</v>
      </c>
      <c r="F4" s="159" t="s">
        <v>7</v>
      </c>
      <c r="G4" s="159" t="s">
        <v>9</v>
      </c>
      <c r="H4" s="159"/>
      <c r="I4" s="117" t="s">
        <v>13</v>
      </c>
      <c r="J4" s="117" t="s">
        <v>14</v>
      </c>
      <c r="K4" s="159" t="s">
        <v>15</v>
      </c>
      <c r="L4" s="159" t="s">
        <v>17</v>
      </c>
      <c r="M4" s="159" t="s">
        <v>19</v>
      </c>
      <c r="N4" s="117" t="s">
        <v>20</v>
      </c>
      <c r="O4" s="160" t="s">
        <v>21</v>
      </c>
    </row>
    <row r="5" spans="1:15" ht="32.25" customHeight="1" thickBot="1" x14ac:dyDescent="0.25">
      <c r="A5" s="161"/>
      <c r="B5" s="118"/>
      <c r="C5" s="162" t="s">
        <v>29</v>
      </c>
      <c r="D5" s="162" t="s">
        <v>3</v>
      </c>
      <c r="E5" s="162" t="s">
        <v>5</v>
      </c>
      <c r="F5" s="162" t="s">
        <v>8</v>
      </c>
      <c r="G5" s="162" t="s">
        <v>10</v>
      </c>
      <c r="H5" s="162"/>
      <c r="I5" s="118"/>
      <c r="J5" s="118"/>
      <c r="K5" s="162" t="s">
        <v>16</v>
      </c>
      <c r="L5" s="162" t="s">
        <v>18</v>
      </c>
      <c r="M5" s="162"/>
      <c r="N5" s="118"/>
      <c r="O5" s="163"/>
    </row>
    <row r="6" spans="1:15" x14ac:dyDescent="0.2">
      <c r="A6" s="119">
        <v>1</v>
      </c>
      <c r="B6" s="120">
        <v>10</v>
      </c>
      <c r="C6" s="121" t="s">
        <v>48</v>
      </c>
      <c r="D6" s="121">
        <v>30</v>
      </c>
      <c r="E6" s="121">
        <v>700000</v>
      </c>
      <c r="F6" s="121">
        <f>IF(D7&gt;0,E6/7.33*1.4*D7,0)</f>
        <v>2673942.7012278303</v>
      </c>
      <c r="G6" s="121">
        <f>IF(D6:D41,1100000/30*D6,0)</f>
        <v>1100000</v>
      </c>
      <c r="H6" s="121"/>
      <c r="I6" s="120">
        <f>G6+F6+F7+E7+G7+H6+H7</f>
        <v>25173942.701227829</v>
      </c>
      <c r="J6" s="120">
        <f>I6-G7</f>
        <v>25173942.701227829</v>
      </c>
      <c r="K6" s="121">
        <f>J6*7%</f>
        <v>1762175.9890859481</v>
      </c>
      <c r="L6" s="121">
        <v>5000000</v>
      </c>
      <c r="M6" s="121"/>
      <c r="N6" s="120">
        <f>M6+M7+L6+L7+K6+K7</f>
        <v>7279570.2592087314</v>
      </c>
      <c r="O6" s="122">
        <f>I6-N6</f>
        <v>17894372.442019098</v>
      </c>
    </row>
    <row r="7" spans="1:15" ht="15" thickBot="1" x14ac:dyDescent="0.25">
      <c r="A7" s="123"/>
      <c r="B7" s="124"/>
      <c r="C7" s="125" t="s">
        <v>49</v>
      </c>
      <c r="D7" s="125">
        <v>20</v>
      </c>
      <c r="E7" s="125">
        <f>IF(D6&gt;0,E6*D6,0)</f>
        <v>21000000</v>
      </c>
      <c r="F7" s="125">
        <f>IF(D6&gt;0,400000/30*D6,0)</f>
        <v>400000</v>
      </c>
      <c r="G7" s="125"/>
      <c r="H7" s="125"/>
      <c r="I7" s="124"/>
      <c r="J7" s="124"/>
      <c r="K7" s="125">
        <f>IF(I6&gt;20000000,(I6-20000000)*10%,0)</f>
        <v>517394.27012278291</v>
      </c>
      <c r="L7" s="125"/>
      <c r="M7" s="125"/>
      <c r="N7" s="124"/>
      <c r="O7" s="126"/>
    </row>
    <row r="8" spans="1:15" x14ac:dyDescent="0.2">
      <c r="A8" s="127">
        <v>2</v>
      </c>
      <c r="B8" s="128"/>
      <c r="C8" s="129"/>
      <c r="D8" s="129"/>
      <c r="E8" s="129"/>
      <c r="F8" s="121">
        <f>IF(D9&gt;0,E8/7.33*1.4*D9,0)</f>
        <v>0</v>
      </c>
      <c r="G8" s="121">
        <f>IF(D8:D43,1100000/30*D8,0)</f>
        <v>0</v>
      </c>
      <c r="H8" s="129"/>
      <c r="I8" s="120">
        <f>G8+F8+F9+E9+G9+H8+H9</f>
        <v>0</v>
      </c>
      <c r="J8" s="120">
        <f>I8-G9</f>
        <v>0</v>
      </c>
      <c r="K8" s="121">
        <f>J8*7%</f>
        <v>0</v>
      </c>
      <c r="L8" s="129"/>
      <c r="M8" s="129"/>
      <c r="N8" s="120">
        <f>M8+M9+L8+L9+K8+K9</f>
        <v>0</v>
      </c>
      <c r="O8" s="122">
        <f>I8-N8</f>
        <v>0</v>
      </c>
    </row>
    <row r="9" spans="1:15" ht="15" thickBot="1" x14ac:dyDescent="0.25">
      <c r="A9" s="130"/>
      <c r="B9" s="131"/>
      <c r="C9" s="132"/>
      <c r="D9" s="132"/>
      <c r="E9" s="125">
        <f>IF(D8&gt;0,E8*D8,0)</f>
        <v>0</v>
      </c>
      <c r="F9" s="125">
        <f>IF(D8&gt;0,400000/30*D8,0)</f>
        <v>0</v>
      </c>
      <c r="G9" s="132"/>
      <c r="H9" s="132"/>
      <c r="I9" s="124"/>
      <c r="J9" s="124"/>
      <c r="K9" s="125">
        <f>IF(I8&gt;20000000,(I8-20000000)*10%,0)</f>
        <v>0</v>
      </c>
      <c r="L9" s="132"/>
      <c r="M9" s="132"/>
      <c r="N9" s="124"/>
      <c r="O9" s="126"/>
    </row>
    <row r="10" spans="1:15" x14ac:dyDescent="0.2">
      <c r="A10" s="133">
        <v>3</v>
      </c>
      <c r="B10" s="128"/>
      <c r="C10" s="134"/>
      <c r="D10" s="134"/>
      <c r="E10" s="134"/>
      <c r="F10" s="121">
        <f>IF(D11&gt;0,E10/7.33*1.4*D11,0)</f>
        <v>0</v>
      </c>
      <c r="G10" s="121">
        <f>IF(D10:D45,1100000/30*D10,0)</f>
        <v>0</v>
      </c>
      <c r="H10" s="134"/>
      <c r="I10" s="120">
        <f>G10+F10+F11+E11+G11+H10+H11</f>
        <v>0</v>
      </c>
      <c r="J10" s="120">
        <f>I10-G11</f>
        <v>0</v>
      </c>
      <c r="K10" s="121">
        <f>J10*7%</f>
        <v>0</v>
      </c>
      <c r="L10" s="134"/>
      <c r="M10" s="134"/>
      <c r="N10" s="120">
        <f>M10+M11+L10+L11+K10+K11</f>
        <v>0</v>
      </c>
      <c r="O10" s="122">
        <f>I10-N10</f>
        <v>0</v>
      </c>
    </row>
    <row r="11" spans="1:15" ht="15" thickBot="1" x14ac:dyDescent="0.25">
      <c r="A11" s="133"/>
      <c r="B11" s="131"/>
      <c r="C11" s="135"/>
      <c r="D11" s="135"/>
      <c r="E11" s="125">
        <f>IF(D10&gt;0,E10*D10,0)</f>
        <v>0</v>
      </c>
      <c r="F11" s="125">
        <f>IF(D10&gt;0,400000/30*D10,0)</f>
        <v>0</v>
      </c>
      <c r="G11" s="135"/>
      <c r="H11" s="135"/>
      <c r="I11" s="124"/>
      <c r="J11" s="124"/>
      <c r="K11" s="125">
        <f>IF(I10&gt;20000000,(I10-20000000)*10%,0)</f>
        <v>0</v>
      </c>
      <c r="L11" s="135"/>
      <c r="M11" s="135"/>
      <c r="N11" s="124"/>
      <c r="O11" s="126"/>
    </row>
    <row r="12" spans="1:15" x14ac:dyDescent="0.2">
      <c r="A12" s="127">
        <v>4</v>
      </c>
      <c r="B12" s="128"/>
      <c r="C12" s="129"/>
      <c r="D12" s="129"/>
      <c r="E12" s="129"/>
      <c r="F12" s="121">
        <f>IF(D13&gt;0,E12/7.33*1.4*D13,0)</f>
        <v>0</v>
      </c>
      <c r="G12" s="121">
        <f>IF(D12:D47,1100000/30*D12,0)</f>
        <v>0</v>
      </c>
      <c r="H12" s="129"/>
      <c r="I12" s="120">
        <f>G12+F12+F13+E13+G13+H12+H13</f>
        <v>0</v>
      </c>
      <c r="J12" s="120">
        <f>I12-G13</f>
        <v>0</v>
      </c>
      <c r="K12" s="121">
        <f>J12*7%</f>
        <v>0</v>
      </c>
      <c r="L12" s="129"/>
      <c r="M12" s="129"/>
      <c r="N12" s="120">
        <f>M12+M13+L12+L13+K12+K13</f>
        <v>0</v>
      </c>
      <c r="O12" s="122">
        <f>I12-N12</f>
        <v>0</v>
      </c>
    </row>
    <row r="13" spans="1:15" ht="15" thickBot="1" x14ac:dyDescent="0.25">
      <c r="A13" s="130"/>
      <c r="B13" s="131"/>
      <c r="C13" s="132"/>
      <c r="D13" s="132"/>
      <c r="E13" s="125">
        <f>IF(D12&gt;0,E12*D12,0)</f>
        <v>0</v>
      </c>
      <c r="F13" s="125">
        <f>IF(D12&gt;0,400000/30*D12,0)</f>
        <v>0</v>
      </c>
      <c r="G13" s="132"/>
      <c r="H13" s="132"/>
      <c r="I13" s="124"/>
      <c r="J13" s="124"/>
      <c r="K13" s="125">
        <f>IF(I12&gt;20000000,(I12-20000000)*10%,0)</f>
        <v>0</v>
      </c>
      <c r="L13" s="132"/>
      <c r="M13" s="132"/>
      <c r="N13" s="124"/>
      <c r="O13" s="126"/>
    </row>
    <row r="14" spans="1:15" x14ac:dyDescent="0.2">
      <c r="A14" s="133">
        <v>5</v>
      </c>
      <c r="B14" s="128"/>
      <c r="C14" s="134"/>
      <c r="D14" s="134"/>
      <c r="E14" s="134"/>
      <c r="F14" s="121">
        <f>IF(D15&gt;0,E14/7.33*1.4*D15,0)</f>
        <v>0</v>
      </c>
      <c r="G14" s="121">
        <f>IF(D14:D49,1100000/30*D14,0)</f>
        <v>0</v>
      </c>
      <c r="H14" s="134"/>
      <c r="I14" s="120">
        <f>G14+F14+F15+E15+G15+H14+H15</f>
        <v>0</v>
      </c>
      <c r="J14" s="120">
        <f>I14-G15</f>
        <v>0</v>
      </c>
      <c r="K14" s="121">
        <f>J14*7%</f>
        <v>0</v>
      </c>
      <c r="L14" s="134"/>
      <c r="M14" s="134"/>
      <c r="N14" s="120">
        <f>M14+M15+L14+L15+K14+K15</f>
        <v>0</v>
      </c>
      <c r="O14" s="122">
        <f>I14-N14</f>
        <v>0</v>
      </c>
    </row>
    <row r="15" spans="1:15" ht="15" thickBot="1" x14ac:dyDescent="0.25">
      <c r="A15" s="133"/>
      <c r="B15" s="131"/>
      <c r="C15" s="135"/>
      <c r="D15" s="135"/>
      <c r="E15" s="125">
        <f>IF(D14&gt;0,E14*D14,0)</f>
        <v>0</v>
      </c>
      <c r="F15" s="125">
        <f>IF(D14&gt;0,400000/30*D14,0)</f>
        <v>0</v>
      </c>
      <c r="G15" s="135"/>
      <c r="H15" s="135"/>
      <c r="I15" s="124"/>
      <c r="J15" s="124"/>
      <c r="K15" s="125">
        <f>IF(I14&gt;20000000,(I14-20000000)*10%,0)</f>
        <v>0</v>
      </c>
      <c r="L15" s="135"/>
      <c r="M15" s="135"/>
      <c r="N15" s="124"/>
      <c r="O15" s="126"/>
    </row>
    <row r="16" spans="1:15" x14ac:dyDescent="0.2">
      <c r="A16" s="127">
        <v>6</v>
      </c>
      <c r="B16" s="128"/>
      <c r="C16" s="129"/>
      <c r="D16" s="129"/>
      <c r="E16" s="129"/>
      <c r="F16" s="121">
        <f>IF(D17&gt;0,E16/7.33*1.4*D17,0)</f>
        <v>0</v>
      </c>
      <c r="G16" s="121">
        <f>IF(D16:D51,1100000/30*D16,0)</f>
        <v>0</v>
      </c>
      <c r="H16" s="129"/>
      <c r="I16" s="120">
        <f>G16+F16+F17+E17+G17+H16+H17</f>
        <v>0</v>
      </c>
      <c r="J16" s="120">
        <f>I16-G17</f>
        <v>0</v>
      </c>
      <c r="K16" s="121">
        <f>J16*7%</f>
        <v>0</v>
      </c>
      <c r="L16" s="129"/>
      <c r="M16" s="129"/>
      <c r="N16" s="120">
        <f>M16+M17+L16+L17+K16+K17</f>
        <v>0</v>
      </c>
      <c r="O16" s="122">
        <f>I16-N16</f>
        <v>0</v>
      </c>
    </row>
    <row r="17" spans="1:15" ht="15" thickBot="1" x14ac:dyDescent="0.25">
      <c r="A17" s="130"/>
      <c r="B17" s="131"/>
      <c r="C17" s="132"/>
      <c r="D17" s="132"/>
      <c r="E17" s="125">
        <f>IF(D16&gt;0,E16*D16,0)</f>
        <v>0</v>
      </c>
      <c r="F17" s="125">
        <f>IF(D16&gt;0,400000/30*D16,0)</f>
        <v>0</v>
      </c>
      <c r="G17" s="132"/>
      <c r="H17" s="132"/>
      <c r="I17" s="124"/>
      <c r="J17" s="124"/>
      <c r="K17" s="125">
        <f>IF(I16&gt;20000000,(I16-20000000)*10%,0)</f>
        <v>0</v>
      </c>
      <c r="L17" s="132"/>
      <c r="M17" s="132"/>
      <c r="N17" s="124"/>
      <c r="O17" s="126"/>
    </row>
    <row r="18" spans="1:15" x14ac:dyDescent="0.2">
      <c r="A18" s="133">
        <v>7</v>
      </c>
      <c r="B18" s="128"/>
      <c r="C18" s="134"/>
      <c r="D18" s="134"/>
      <c r="E18" s="134"/>
      <c r="F18" s="121">
        <f>IF(D19&gt;0,E18/7.33*1.4*D19,0)</f>
        <v>0</v>
      </c>
      <c r="G18" s="121">
        <f>IF(D18:D53,1100000/30*D18,0)</f>
        <v>0</v>
      </c>
      <c r="H18" s="134"/>
      <c r="I18" s="120">
        <f>G18+F18+F19+E19+G19+H18+H19</f>
        <v>0</v>
      </c>
      <c r="J18" s="120">
        <f>I18-G19</f>
        <v>0</v>
      </c>
      <c r="K18" s="121">
        <f>J18*7%</f>
        <v>0</v>
      </c>
      <c r="L18" s="134"/>
      <c r="M18" s="134"/>
      <c r="N18" s="120">
        <f>M18+M19+L18+L19+K18+K19</f>
        <v>0</v>
      </c>
      <c r="O18" s="122">
        <f>I18-N18</f>
        <v>0</v>
      </c>
    </row>
    <row r="19" spans="1:15" ht="15" thickBot="1" x14ac:dyDescent="0.25">
      <c r="A19" s="133"/>
      <c r="B19" s="131"/>
      <c r="C19" s="135"/>
      <c r="D19" s="135"/>
      <c r="E19" s="125">
        <f>IF(D18&gt;0,E18*D18,0)</f>
        <v>0</v>
      </c>
      <c r="F19" s="125">
        <f>IF(D18&gt;0,400000/30*D18,0)</f>
        <v>0</v>
      </c>
      <c r="G19" s="135"/>
      <c r="H19" s="135"/>
      <c r="I19" s="124"/>
      <c r="J19" s="124"/>
      <c r="K19" s="125">
        <f>IF(I18&gt;20000000,(I18-20000000)*10%,0)</f>
        <v>0</v>
      </c>
      <c r="L19" s="135"/>
      <c r="M19" s="135"/>
      <c r="N19" s="124"/>
      <c r="O19" s="126"/>
    </row>
    <row r="20" spans="1:15" ht="15" x14ac:dyDescent="0.2">
      <c r="A20" s="136" t="s">
        <v>27</v>
      </c>
      <c r="B20" s="137"/>
      <c r="C20" s="138"/>
      <c r="D20" s="139"/>
      <c r="E20" s="139"/>
      <c r="F20" s="140">
        <f t="shared" ref="F20:H21" si="0">F6+F8+F10+F12+F16+F18</f>
        <v>2673942.7012278303</v>
      </c>
      <c r="G20" s="140">
        <f t="shared" si="0"/>
        <v>1100000</v>
      </c>
      <c r="H20" s="140">
        <f t="shared" si="0"/>
        <v>0</v>
      </c>
      <c r="I20" s="141">
        <f>SUM(I6:I19)</f>
        <v>25173942.701227829</v>
      </c>
      <c r="J20" s="141">
        <f>SUM(J6:J19)</f>
        <v>25173942.701227829</v>
      </c>
      <c r="K20" s="140">
        <f t="shared" ref="K20:M21" si="1">K6+K8+K10+K12+K16+K18</f>
        <v>1762175.9890859481</v>
      </c>
      <c r="L20" s="140">
        <f t="shared" si="1"/>
        <v>5000000</v>
      </c>
      <c r="M20" s="140">
        <f t="shared" si="1"/>
        <v>0</v>
      </c>
      <c r="N20" s="141">
        <f>SUM(N6:N19)</f>
        <v>7279570.2592087314</v>
      </c>
      <c r="O20" s="141">
        <f>SUM(O6:O19)</f>
        <v>17894372.442019098</v>
      </c>
    </row>
    <row r="21" spans="1:15" ht="15.75" thickBot="1" x14ac:dyDescent="0.25">
      <c r="A21" s="142"/>
      <c r="B21" s="143"/>
      <c r="C21" s="144"/>
      <c r="D21" s="145"/>
      <c r="E21" s="146">
        <f>E7+E9+E11+E13+E14+E16+E18+E20</f>
        <v>21000000</v>
      </c>
      <c r="F21" s="146">
        <f t="shared" si="0"/>
        <v>400000</v>
      </c>
      <c r="G21" s="146">
        <f t="shared" si="0"/>
        <v>0</v>
      </c>
      <c r="H21" s="146">
        <f t="shared" si="0"/>
        <v>0</v>
      </c>
      <c r="I21" s="147"/>
      <c r="J21" s="147"/>
      <c r="K21" s="146">
        <f t="shared" si="1"/>
        <v>517394.27012278291</v>
      </c>
      <c r="L21" s="146">
        <f t="shared" si="1"/>
        <v>0</v>
      </c>
      <c r="M21" s="146">
        <f t="shared" si="1"/>
        <v>0</v>
      </c>
      <c r="N21" s="147"/>
      <c r="O21" s="147"/>
    </row>
    <row r="22" spans="1:15" ht="21" customHeight="1" thickTop="1" x14ac:dyDescent="0.2">
      <c r="A22" s="148"/>
      <c r="B22" s="148"/>
      <c r="C22" s="148"/>
      <c r="D22" s="148"/>
      <c r="E22" s="148"/>
      <c r="F22" s="148"/>
      <c r="G22" s="148"/>
      <c r="H22" s="148"/>
      <c r="I22" s="149" t="s">
        <v>24</v>
      </c>
      <c r="J22" s="150"/>
      <c r="K22" s="151">
        <f>IF(J20&gt;0,J20*20%,0)</f>
        <v>5034788.5402455665</v>
      </c>
      <c r="L22" s="148"/>
      <c r="M22" s="148"/>
      <c r="N22" s="148"/>
      <c r="O22" s="148"/>
    </row>
    <row r="23" spans="1:15" ht="21" customHeight="1" x14ac:dyDescent="0.2">
      <c r="A23" s="148"/>
      <c r="B23" s="148"/>
      <c r="C23" s="148"/>
      <c r="D23" s="148"/>
      <c r="E23" s="148"/>
      <c r="F23" s="148"/>
      <c r="G23" s="148"/>
      <c r="H23" s="148"/>
      <c r="I23" s="152" t="s">
        <v>25</v>
      </c>
      <c r="J23" s="153"/>
      <c r="K23" s="154">
        <f>IF(J20&gt;0,J20*3%,0)</f>
        <v>755218.28103683481</v>
      </c>
      <c r="L23" s="148"/>
      <c r="M23" s="148"/>
      <c r="N23" s="148"/>
      <c r="O23" s="148"/>
    </row>
    <row r="24" spans="1:15" ht="21" customHeight="1" thickBot="1" x14ac:dyDescent="0.25">
      <c r="A24" s="148"/>
      <c r="B24" s="148"/>
      <c r="C24" s="148"/>
      <c r="D24" s="148"/>
      <c r="E24" s="148"/>
      <c r="F24" s="148"/>
      <c r="G24" s="148"/>
      <c r="H24" s="148"/>
      <c r="I24" s="155" t="s">
        <v>26</v>
      </c>
      <c r="J24" s="147"/>
      <c r="K24" s="156">
        <f>K23+K22+K20</f>
        <v>7552182.8103683498</v>
      </c>
      <c r="L24" s="148"/>
      <c r="M24" s="148"/>
      <c r="N24" s="148"/>
      <c r="O24" s="148"/>
    </row>
    <row r="25" spans="1:15" ht="15" thickTop="1" x14ac:dyDescent="0.2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</row>
    <row r="26" spans="1:15" x14ac:dyDescent="0.2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</row>
    <row r="27" spans="1:15" ht="15" x14ac:dyDescent="0.25">
      <c r="A27" s="148"/>
      <c r="B27" s="157" t="s">
        <v>50</v>
      </c>
      <c r="C27" s="157"/>
      <c r="D27" s="157"/>
      <c r="E27" s="157"/>
      <c r="F27" s="157"/>
      <c r="G27" s="157"/>
      <c r="H27" s="157" t="s">
        <v>51</v>
      </c>
      <c r="I27" s="157"/>
      <c r="J27" s="157"/>
      <c r="K27" s="157"/>
      <c r="L27" s="157"/>
      <c r="M27" s="157"/>
      <c r="N27" s="157" t="s">
        <v>52</v>
      </c>
      <c r="O27" s="157"/>
    </row>
    <row r="28" spans="1:15" x14ac:dyDescent="0.2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</row>
    <row r="29" spans="1:15" x14ac:dyDescent="0.2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</row>
    <row r="30" spans="1:15" x14ac:dyDescent="0.2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</row>
    <row r="31" spans="1:15" x14ac:dyDescent="0.2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</row>
    <row r="32" spans="1:15" x14ac:dyDescent="0.2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</row>
  </sheetData>
  <mergeCells count="57">
    <mergeCell ref="I23:J23"/>
    <mergeCell ref="I24:J24"/>
    <mergeCell ref="A20:C21"/>
    <mergeCell ref="I20:I21"/>
    <mergeCell ref="J20:J21"/>
    <mergeCell ref="N20:N21"/>
    <mergeCell ref="O20:O21"/>
    <mergeCell ref="I22:J22"/>
    <mergeCell ref="A18:A19"/>
    <mergeCell ref="B18:B19"/>
    <mergeCell ref="I18:I19"/>
    <mergeCell ref="J18:J19"/>
    <mergeCell ref="N18:N19"/>
    <mergeCell ref="O18:O19"/>
    <mergeCell ref="O16:O17"/>
    <mergeCell ref="A14:A15"/>
    <mergeCell ref="B14:B15"/>
    <mergeCell ref="I14:I15"/>
    <mergeCell ref="J14:J15"/>
    <mergeCell ref="N14:N15"/>
    <mergeCell ref="O14:O15"/>
    <mergeCell ref="A16:A17"/>
    <mergeCell ref="B16:B17"/>
    <mergeCell ref="I16:I17"/>
    <mergeCell ref="J16:J17"/>
    <mergeCell ref="N16:N17"/>
    <mergeCell ref="O12:O13"/>
    <mergeCell ref="A10:A11"/>
    <mergeCell ref="B10:B11"/>
    <mergeCell ref="I10:I11"/>
    <mergeCell ref="J10:J11"/>
    <mergeCell ref="N10:N11"/>
    <mergeCell ref="O10:O11"/>
    <mergeCell ref="A12:A13"/>
    <mergeCell ref="B12:B13"/>
    <mergeCell ref="I12:I13"/>
    <mergeCell ref="J12:J13"/>
    <mergeCell ref="N12:N13"/>
    <mergeCell ref="O8:O9"/>
    <mergeCell ref="A6:A7"/>
    <mergeCell ref="B6:B7"/>
    <mergeCell ref="I6:I7"/>
    <mergeCell ref="J6:J7"/>
    <mergeCell ref="N6:N7"/>
    <mergeCell ref="O6:O7"/>
    <mergeCell ref="A8:A9"/>
    <mergeCell ref="B8:B9"/>
    <mergeCell ref="I8:I9"/>
    <mergeCell ref="J8:J9"/>
    <mergeCell ref="N8:N9"/>
    <mergeCell ref="A2:O2"/>
    <mergeCell ref="A4:A5"/>
    <mergeCell ref="B4:B5"/>
    <mergeCell ref="I4:I5"/>
    <mergeCell ref="J4:J5"/>
    <mergeCell ref="N4:N5"/>
    <mergeCell ref="O4:O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senf-offic</cp:lastModifiedBy>
  <cp:lastPrinted>2018-01-22T07:13:38Z</cp:lastPrinted>
  <dcterms:created xsi:type="dcterms:W3CDTF">2017-08-29T19:52:02Z</dcterms:created>
  <dcterms:modified xsi:type="dcterms:W3CDTF">2018-01-22T07:14:00Z</dcterms:modified>
</cp:coreProperties>
</file>